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11835" tabRatio="915"/>
  </bookViews>
  <sheets>
    <sheet name="Balance 31122013" sheetId="1" r:id="rId1"/>
    <sheet name="Familles" sheetId="2" r:id="rId2"/>
    <sheet name="Immobilisations" sheetId="15" r:id="rId3"/>
    <sheet name="Articles" sheetId="12" r:id="rId4"/>
    <sheet name="Clients" sheetId="13" r:id="rId5"/>
    <sheet name="Fournisseurs" sheetId="3" r:id="rId6"/>
    <sheet name="Conditions commerciales" sheetId="16" r:id="rId7"/>
    <sheet name="Conditions de règlement" sheetId="14" r:id="rId8"/>
    <sheet name="Tableau Emprunt" sheetId="4" r:id="rId9"/>
    <sheet name="Echéancier Crédit-bail" sheetId="5" r:id="rId10"/>
    <sheet name="Echéancier fiscal et social" sheetId="8" r:id="rId11"/>
    <sheet name="Etat des stocks" sheetId="9" r:id="rId12"/>
    <sheet name="Inventaire" sheetId="10" r:id="rId13"/>
    <sheet name="Simulation paie 2014" sheetId="7" r:id="rId14"/>
    <sheet name="Résultat fiscal" sheetId="11" r:id="rId15"/>
  </sheets>
  <definedNames>
    <definedName name="_xlnm.Print_Area" localSheetId="0">'Balance 31122013'!$A$1:$D$59</definedName>
    <definedName name="_xlnm.Print_Area" localSheetId="1">Familles!$A$1:$J$30</definedName>
    <definedName name="_xlnm.Print_Area" localSheetId="5">Fournisseurs!$A$1:$H$15</definedName>
  </definedNames>
  <calcPr calcId="125725"/>
</workbook>
</file>

<file path=xl/calcChain.xml><?xml version="1.0" encoding="utf-8"?>
<calcChain xmlns="http://schemas.openxmlformats.org/spreadsheetml/2006/main">
  <c r="C13" i="11"/>
  <c r="H16" i="10"/>
  <c r="H17"/>
  <c r="H15"/>
  <c r="H19" i="11"/>
  <c r="H16"/>
  <c r="F16" i="10" l="1"/>
  <c r="F17"/>
  <c r="F15"/>
  <c r="E18"/>
  <c r="F18" l="1"/>
  <c r="H18"/>
  <c r="H15" i="11"/>
  <c r="H17" s="1"/>
  <c r="C16" s="1"/>
  <c r="H8"/>
  <c r="H7"/>
  <c r="E2" i="10"/>
  <c r="E3" s="1"/>
  <c r="E6"/>
  <c r="E5"/>
  <c r="E6" i="9"/>
  <c r="D13"/>
  <c r="E14" s="1"/>
  <c r="D14"/>
  <c r="C15"/>
  <c r="D15" s="1"/>
  <c r="C16"/>
  <c r="D16" s="1"/>
  <c r="C17"/>
  <c r="D17" s="1"/>
  <c r="C18"/>
  <c r="D18" s="1"/>
  <c r="B19"/>
  <c r="D12"/>
  <c r="D11"/>
  <c r="E12" s="1"/>
  <c r="D4"/>
  <c r="D5"/>
  <c r="D6"/>
  <c r="D3"/>
  <c r="B7"/>
  <c r="D10" i="5"/>
  <c r="D11"/>
  <c r="D12"/>
  <c r="D13"/>
  <c r="C30" i="1"/>
  <c r="E4" i="9" l="1"/>
  <c r="H9" i="11"/>
  <c r="C5" s="1"/>
  <c r="E18" i="9"/>
  <c r="E19" s="1"/>
  <c r="D7"/>
  <c r="E9" i="10"/>
  <c r="E10" s="1"/>
  <c r="H19"/>
  <c r="H20" s="1"/>
  <c r="D19" i="9"/>
  <c r="E9" i="7"/>
  <c r="F9"/>
  <c r="G9"/>
  <c r="B9"/>
  <c r="C5"/>
  <c r="C6"/>
  <c r="C7"/>
  <c r="C8"/>
  <c r="C4"/>
  <c r="D3"/>
  <c r="D9" s="1"/>
  <c r="S3"/>
  <c r="R3"/>
  <c r="P3"/>
  <c r="O3"/>
  <c r="M3"/>
  <c r="K3"/>
  <c r="L3"/>
  <c r="J3"/>
  <c r="I3"/>
  <c r="R6"/>
  <c r="O6"/>
  <c r="L6"/>
  <c r="I6"/>
  <c r="G13" l="1"/>
  <c r="G14" s="1"/>
  <c r="D13"/>
  <c r="D14" s="1"/>
  <c r="F13"/>
  <c r="F14" s="1"/>
  <c r="C9"/>
  <c r="C13" s="1"/>
  <c r="C14" s="1"/>
  <c r="D15" i="5"/>
  <c r="E15" s="1"/>
  <c r="D16"/>
  <c r="E16" s="1"/>
  <c r="D17"/>
  <c r="E17" s="1"/>
  <c r="D18"/>
  <c r="E18" s="1"/>
  <c r="D19"/>
  <c r="E19" s="1"/>
  <c r="D14"/>
  <c r="E14" s="1"/>
  <c r="D9"/>
  <c r="E9" s="1"/>
  <c r="E10"/>
  <c r="E11"/>
  <c r="E12"/>
  <c r="E13"/>
  <c r="D8"/>
  <c r="E8" s="1"/>
  <c r="C29" i="1" l="1"/>
  <c r="D58"/>
  <c r="D26"/>
  <c r="C26"/>
  <c r="C42"/>
  <c r="C58" l="1"/>
  <c r="E58" s="1"/>
  <c r="E26"/>
  <c r="D59"/>
  <c r="C59" l="1"/>
  <c r="B8" i="11"/>
  <c r="B18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Prix tenant compte des remises obtenues éventuellement
</t>
        </r>
      </text>
    </comment>
  </commentList>
</comments>
</file>

<file path=xl/sharedStrings.xml><?xml version="1.0" encoding="utf-8"?>
<sst xmlns="http://schemas.openxmlformats.org/spreadsheetml/2006/main" count="840" uniqueCount="588">
  <si>
    <t>Capital souscrit appelé versé</t>
  </si>
  <si>
    <t>Emprunts auprès des éts de crédit</t>
  </si>
  <si>
    <t>Terrains</t>
  </si>
  <si>
    <t>Constructions</t>
  </si>
  <si>
    <t>Mobilier</t>
  </si>
  <si>
    <t>Amortiss. des constructions</t>
  </si>
  <si>
    <t>Amortiss. du matériel de transport</t>
  </si>
  <si>
    <t>Amortiss. du matériel de bur. et inf.</t>
  </si>
  <si>
    <t>Amortiss. du mobilier</t>
  </si>
  <si>
    <t>Fournisseurs</t>
  </si>
  <si>
    <t>Clients</t>
  </si>
  <si>
    <t>Personnel – rémunérations dues</t>
  </si>
  <si>
    <t>Dettes prov. pour congés à payer</t>
  </si>
  <si>
    <t>Sécurité sociale</t>
  </si>
  <si>
    <t>Autres organismes sociaux</t>
  </si>
  <si>
    <t>Etat – impôts sur les bénéfices</t>
  </si>
  <si>
    <t>Etat – TVA à décaisser</t>
  </si>
  <si>
    <t>Caisse</t>
  </si>
  <si>
    <t>Crédit-bail mobilier</t>
  </si>
  <si>
    <t>Charges sur dettes prov. Congés à payer</t>
  </si>
  <si>
    <t>Entretien et réparations</t>
  </si>
  <si>
    <t>Primes d'assurance</t>
  </si>
  <si>
    <t>Documentation technique</t>
  </si>
  <si>
    <t>Honoraires</t>
  </si>
  <si>
    <t>Annonces insertions</t>
  </si>
  <si>
    <t>Foires et expositions</t>
  </si>
  <si>
    <t>Pourboires et dons courants</t>
  </si>
  <si>
    <t>Transports sur achats</t>
  </si>
  <si>
    <t>Transports sur ventes</t>
  </si>
  <si>
    <t>Impôts et taxes sur salaires, org. Collecteurs</t>
  </si>
  <si>
    <t>CET</t>
  </si>
  <si>
    <t>Rémunérations du personnel</t>
  </si>
  <si>
    <t>Cotisations sécurité sociale et chômage</t>
  </si>
  <si>
    <t>Cotisations mutuelle de santé</t>
  </si>
  <si>
    <t>Cotisations retraite</t>
  </si>
  <si>
    <t>Médecine du travail, pharmacie</t>
  </si>
  <si>
    <t>Pertes sur créances irrécouvrables</t>
  </si>
  <si>
    <t>Intérêts des emprunts et dettes</t>
  </si>
  <si>
    <t>Services bancaires</t>
  </si>
  <si>
    <t>Escomptes accordés</t>
  </si>
  <si>
    <t>Dotations amortissements  immobilisations</t>
  </si>
  <si>
    <t>Impôt sur les bénéfices</t>
  </si>
  <si>
    <t>Escomptes obtenus</t>
  </si>
  <si>
    <t>Totaux comptes de gestion</t>
  </si>
  <si>
    <t>Totaux comptes bilan</t>
  </si>
  <si>
    <t>Banque BPBFC</t>
  </si>
  <si>
    <t>Variation de stocks MAB</t>
  </si>
  <si>
    <t>Matériel de transport</t>
  </si>
  <si>
    <t>Matériel de bureau et informatique</t>
  </si>
  <si>
    <t>Stock de machines à bois LEMAN</t>
  </si>
  <si>
    <t>Stock de machines à bois GUILLIET</t>
  </si>
  <si>
    <t>Achats MAB Leman</t>
  </si>
  <si>
    <t>Achats MAB Guilliet</t>
  </si>
  <si>
    <t>Ventes MAB Leman</t>
  </si>
  <si>
    <t>Ventes MAB Guilliet</t>
  </si>
  <si>
    <t>Fournitures administratives</t>
  </si>
  <si>
    <t>Totaux balance au 31/12/n-2</t>
  </si>
  <si>
    <t>Pénalités et amendes pénales et fiscales</t>
  </si>
  <si>
    <t>Téléphone</t>
  </si>
  <si>
    <t>Code postal</t>
  </si>
  <si>
    <t>Ville</t>
  </si>
  <si>
    <t>LEMAN</t>
  </si>
  <si>
    <t>Code</t>
  </si>
  <si>
    <t>GUILLIET</t>
  </si>
  <si>
    <t>LCS 30 jours</t>
  </si>
  <si>
    <t>CEGID</t>
  </si>
  <si>
    <t>Libellé</t>
  </si>
  <si>
    <t>Familles comptables et ventilations comptables</t>
  </si>
  <si>
    <t>Intitulé</t>
  </si>
  <si>
    <t>Cpte d'achat</t>
  </si>
  <si>
    <t>Cpte de vente</t>
  </si>
  <si>
    <t>ACC</t>
  </si>
  <si>
    <t>Frais accessoires</t>
  </si>
  <si>
    <t>RRR</t>
  </si>
  <si>
    <t>Réductions commerciales</t>
  </si>
  <si>
    <t>Machines à bois LEMAN</t>
  </si>
  <si>
    <t>Machines à bois GUILLIET</t>
  </si>
  <si>
    <t>Combinée 250mm 5 opérations</t>
  </si>
  <si>
    <t>Combinée 310mm 5 opérations</t>
  </si>
  <si>
    <t>Combinée 415mm 5 opérations</t>
  </si>
  <si>
    <t>Combinée 310mm 6 opérations</t>
  </si>
  <si>
    <t>Date</t>
  </si>
  <si>
    <t>Echéance</t>
  </si>
  <si>
    <t>Cap. début</t>
  </si>
  <si>
    <t>Intérêts</t>
  </si>
  <si>
    <t>Amortissement</t>
  </si>
  <si>
    <t>Cap. fin</t>
  </si>
  <si>
    <t>Tableau amortissement de l'emprunt - extraction de Servantissimmo</t>
  </si>
  <si>
    <t>Matériel financé :</t>
  </si>
  <si>
    <t>Copieur multifonctions réseau RICOH C6580</t>
  </si>
  <si>
    <t>Coût du financement :</t>
  </si>
  <si>
    <t>Durée du financement :</t>
  </si>
  <si>
    <t>3 ans</t>
  </si>
  <si>
    <t>Trimestrielles</t>
  </si>
  <si>
    <t>Dates</t>
  </si>
  <si>
    <t>Option d'achat final HT :</t>
  </si>
  <si>
    <t>Périodicité :</t>
  </si>
  <si>
    <t>HT</t>
  </si>
  <si>
    <t>TVA</t>
  </si>
  <si>
    <t>TTC</t>
  </si>
  <si>
    <t>Financement par crédit-bail NATIXIS</t>
  </si>
  <si>
    <t>Machines à bois FELDER/HAMMER</t>
  </si>
  <si>
    <t>Cpte de stock</t>
  </si>
  <si>
    <t>MLE</t>
  </si>
  <si>
    <t>MGU</t>
  </si>
  <si>
    <t>MFE</t>
  </si>
  <si>
    <t>Combinées</t>
  </si>
  <si>
    <t>Mortaiseuses</t>
  </si>
  <si>
    <t>Perceuses</t>
  </si>
  <si>
    <t>Raboteuses</t>
  </si>
  <si>
    <t>Scies circulaires</t>
  </si>
  <si>
    <t>Scies à ruban</t>
  </si>
  <si>
    <t>Toupies</t>
  </si>
  <si>
    <t>Brut</t>
  </si>
  <si>
    <t>Net</t>
  </si>
  <si>
    <t>CSS Sécu</t>
  </si>
  <si>
    <t>CSS Autres</t>
  </si>
  <si>
    <t>CSP Sécu</t>
  </si>
  <si>
    <t>CSP autres</t>
  </si>
  <si>
    <t>Grandclément</t>
  </si>
  <si>
    <t>Ela</t>
  </si>
  <si>
    <t>Lemberet</t>
  </si>
  <si>
    <t>Allarie</t>
  </si>
  <si>
    <t>Barbe</t>
  </si>
  <si>
    <t>Coutureau</t>
  </si>
  <si>
    <t>Salariés</t>
  </si>
  <si>
    <t>Taux CSS approx</t>
  </si>
  <si>
    <t>Taux CSP approx</t>
  </si>
  <si>
    <t>SS+chomage sur st</t>
  </si>
  <si>
    <t>Retraite sur st</t>
  </si>
  <si>
    <t>Retraite sur ta</t>
  </si>
  <si>
    <t>Retraite ta</t>
  </si>
  <si>
    <t>Retraite tb</t>
  </si>
  <si>
    <t>sur ta</t>
  </si>
  <si>
    <t>Retraite sur tb</t>
  </si>
  <si>
    <t>Retraite ST</t>
  </si>
  <si>
    <t>Total retenues</t>
  </si>
  <si>
    <t>Pour écriture mensuelle</t>
  </si>
  <si>
    <t>Seul le gérant est considéré cadre pour 2013 et 2014</t>
  </si>
  <si>
    <t>IS</t>
  </si>
  <si>
    <t>Ca3-01</t>
  </si>
  <si>
    <t>Ca3-02</t>
  </si>
  <si>
    <t>Ca3-03</t>
  </si>
  <si>
    <t>Ca3-04</t>
  </si>
  <si>
    <t>Ca3-05</t>
  </si>
  <si>
    <t>Ca3-06</t>
  </si>
  <si>
    <t>Ca3-07</t>
  </si>
  <si>
    <t>Ca3-08</t>
  </si>
  <si>
    <t>Ca3-09</t>
  </si>
  <si>
    <t>Ca3-10</t>
  </si>
  <si>
    <t>Ca3-11</t>
  </si>
  <si>
    <t>Ca3-12</t>
  </si>
  <si>
    <t>A1</t>
  </si>
  <si>
    <t>A2</t>
  </si>
  <si>
    <t>A3</t>
  </si>
  <si>
    <t>A4</t>
  </si>
  <si>
    <t>Solde 2014</t>
  </si>
  <si>
    <t>Solde CFE</t>
  </si>
  <si>
    <t>CVAE 2014</t>
  </si>
  <si>
    <t>CS 1°TR</t>
  </si>
  <si>
    <t>CS 2°TR</t>
  </si>
  <si>
    <t>CS 3°TR</t>
  </si>
  <si>
    <t>CS4°TR</t>
  </si>
  <si>
    <t>Régul. 2015</t>
  </si>
  <si>
    <t>1°TR</t>
  </si>
  <si>
    <t>2°TR</t>
  </si>
  <si>
    <t>3°TR</t>
  </si>
  <si>
    <t>4°TR</t>
  </si>
  <si>
    <t>Au 31/12/2013</t>
  </si>
  <si>
    <t>Quantité</t>
  </si>
  <si>
    <t>PUA HT</t>
  </si>
  <si>
    <t>Valeur</t>
  </si>
  <si>
    <t>Au 31/12/2014</t>
  </si>
  <si>
    <t>LC250-5</t>
  </si>
  <si>
    <t>Référence</t>
  </si>
  <si>
    <t>LC310-5</t>
  </si>
  <si>
    <t>GC310-6</t>
  </si>
  <si>
    <t>GC415-5</t>
  </si>
  <si>
    <t>Total</t>
  </si>
  <si>
    <t>GR630</t>
  </si>
  <si>
    <t>GSMAX500</t>
  </si>
  <si>
    <t>LPC23</t>
  </si>
  <si>
    <t>LSO305</t>
  </si>
  <si>
    <t>LSR570</t>
  </si>
  <si>
    <t>HC3105-P</t>
  </si>
  <si>
    <t>HMO-140</t>
  </si>
  <si>
    <t>LMO220</t>
  </si>
  <si>
    <t>Par marque</t>
  </si>
  <si>
    <t>Leman</t>
  </si>
  <si>
    <t>Guillet</t>
  </si>
  <si>
    <t>Hammer</t>
  </si>
  <si>
    <t>Charges sur congés à payer</t>
  </si>
  <si>
    <t>Congés à payer</t>
  </si>
  <si>
    <t>Eléments constatés</t>
  </si>
  <si>
    <t>Taxe apprentissage</t>
  </si>
  <si>
    <t>Formation professionnelle</t>
  </si>
  <si>
    <t>Les paies 2015 ou 2016 seront à faire sur le PGI</t>
  </si>
  <si>
    <t>Calculs</t>
  </si>
  <si>
    <t>204730x0,68%</t>
  </si>
  <si>
    <t>204730x0,55%</t>
  </si>
  <si>
    <t>C3S</t>
  </si>
  <si>
    <t>Exonéré (abattement)</t>
  </si>
  <si>
    <t>14920*7*1/10</t>
  </si>
  <si>
    <t>Pour paie 2014, calculs très approximatifs</t>
  </si>
  <si>
    <t>10444*0,38</t>
  </si>
  <si>
    <t>Eléments</t>
  </si>
  <si>
    <t>Réintégrations</t>
  </si>
  <si>
    <t>Déductions</t>
  </si>
  <si>
    <t>RC</t>
  </si>
  <si>
    <t>Amende</t>
  </si>
  <si>
    <t>RF</t>
  </si>
  <si>
    <t>Solde CET (CVAE)</t>
  </si>
  <si>
    <t>CVAE 2015</t>
  </si>
  <si>
    <t>A régler fin avril 2015</t>
  </si>
  <si>
    <t>IS (exonéré contrib. 3% CMD car PME)</t>
  </si>
  <si>
    <t>RC après IS</t>
  </si>
  <si>
    <t xml:space="preserve">   IS</t>
  </si>
  <si>
    <t xml:space="preserve">   Amendes</t>
  </si>
  <si>
    <t>Calcul IS</t>
  </si>
  <si>
    <t>38120*15%</t>
  </si>
  <si>
    <t>IS 2013</t>
  </si>
  <si>
    <t xml:space="preserve">   Autres charges ND (pour IS OK)</t>
  </si>
  <si>
    <t>(69116-38120)/3</t>
  </si>
  <si>
    <t xml:space="preserve">Ristournes à accorder </t>
  </si>
  <si>
    <t>Taux ristourne</t>
  </si>
  <si>
    <t>CA 2014 Clients concernés</t>
  </si>
  <si>
    <t>- Mr Bricolage</t>
  </si>
  <si>
    <t>- Leroy Merlin</t>
  </si>
  <si>
    <t>- Géant Casino</t>
  </si>
  <si>
    <t>Ristourne à accorder</t>
  </si>
  <si>
    <t>Avoirs à établir 2015</t>
  </si>
  <si>
    <t>Calcul de la ristourne à accorder</t>
  </si>
  <si>
    <t>TVA 20%</t>
  </si>
  <si>
    <t>FRANCOBOIS - Balance avant clôture au 31/12/2013</t>
  </si>
  <si>
    <t>Régime taxe</t>
  </si>
  <si>
    <t>France soumis</t>
  </si>
  <si>
    <t>Variation de stock</t>
  </si>
  <si>
    <t>Machines</t>
  </si>
  <si>
    <t>Libellés familles</t>
  </si>
  <si>
    <t>Marque</t>
  </si>
  <si>
    <t>Type machines</t>
  </si>
  <si>
    <t>Familles articles</t>
  </si>
  <si>
    <t>Nb opérations MAB</t>
  </si>
  <si>
    <t>MFE - Machines à bois Felder</t>
  </si>
  <si>
    <t>Code - Libellé</t>
  </si>
  <si>
    <t>Abrégé</t>
  </si>
  <si>
    <t>MGU - Machines à bois Guilliet</t>
  </si>
  <si>
    <t>MHA - Machines à bois Hammer</t>
  </si>
  <si>
    <t>MAB HAMMER</t>
  </si>
  <si>
    <t>MAB FELDER</t>
  </si>
  <si>
    <t>MAB GUILLIET</t>
  </si>
  <si>
    <t>MLE - Machines à bois Leman</t>
  </si>
  <si>
    <t>MAB LEMAN</t>
  </si>
  <si>
    <t>COM - Combinées</t>
  </si>
  <si>
    <t>DEG - Dégauchisseuses</t>
  </si>
  <si>
    <t>DER - Dégauchisseuses raboteuses</t>
  </si>
  <si>
    <t>MOR - Mortaiseuses</t>
  </si>
  <si>
    <t>PER - Perceuses</t>
  </si>
  <si>
    <t>RAB - Raboteuses</t>
  </si>
  <si>
    <t>SCC - Scies circulaires</t>
  </si>
  <si>
    <t>SCO - Scies à onglet</t>
  </si>
  <si>
    <t>SCR - Scies à ruban</t>
  </si>
  <si>
    <t>TOU - Toupies</t>
  </si>
  <si>
    <t>5OP - Cinq opérations</t>
  </si>
  <si>
    <t>6OP - Six opérations</t>
  </si>
  <si>
    <t>5OPE</t>
  </si>
  <si>
    <t>6OPE</t>
  </si>
  <si>
    <t>Combi</t>
  </si>
  <si>
    <t>Dégau</t>
  </si>
  <si>
    <t>Dégau rabo</t>
  </si>
  <si>
    <t>Mortai</t>
  </si>
  <si>
    <t>Perc</t>
  </si>
  <si>
    <t>Rabo</t>
  </si>
  <si>
    <t>Circu</t>
  </si>
  <si>
    <t>Ong</t>
  </si>
  <si>
    <t>Rub</t>
  </si>
  <si>
    <t>Toup</t>
  </si>
  <si>
    <t>Code article</t>
  </si>
  <si>
    <t>Type machine</t>
  </si>
  <si>
    <t>Famille comptable</t>
  </si>
  <si>
    <t>PV HT</t>
  </si>
  <si>
    <t>Fournisseur principal</t>
  </si>
  <si>
    <t>Prix de base HT d'achat</t>
  </si>
  <si>
    <t>Coefficient calcul HT</t>
  </si>
  <si>
    <t>FC531-5</t>
  </si>
  <si>
    <t>Machines à bois FELDER</t>
  </si>
  <si>
    <t>9 450,00</t>
  </si>
  <si>
    <t>FFELDE</t>
  </si>
  <si>
    <t>FC741P-6</t>
  </si>
  <si>
    <t>Combinée 410mm 6 opérations</t>
  </si>
  <si>
    <t>15 414,00</t>
  </si>
  <si>
    <t>FS102</t>
  </si>
  <si>
    <t>Scie circulaire à format - hauteur de coupe 102mm</t>
  </si>
  <si>
    <t>4 368,00</t>
  </si>
  <si>
    <t>HC310-5</t>
  </si>
  <si>
    <t>Machines à bois HAMMER</t>
  </si>
  <si>
    <t>5 600,00</t>
  </si>
  <si>
    <t>HC310-5P</t>
  </si>
  <si>
    <t>Combinée 310mm 5 opérations-équipement PERFORM</t>
  </si>
  <si>
    <t>8 680,00</t>
  </si>
  <si>
    <t>HDR310</t>
  </si>
  <si>
    <t>Dégauchisseuse raboteuse 310mm</t>
  </si>
  <si>
    <t>Dégauchisseuses raboteuses</t>
  </si>
  <si>
    <t>2 548,00</t>
  </si>
  <si>
    <t>Mortaiseuse 140mm</t>
  </si>
  <si>
    <t>1 666,00</t>
  </si>
  <si>
    <t>HR410</t>
  </si>
  <si>
    <t>Raboteuse 410mm</t>
  </si>
  <si>
    <t>2 660,00</t>
  </si>
  <si>
    <t>HT4-100</t>
  </si>
  <si>
    <t>Toupie 4 vitesses 100mm</t>
  </si>
  <si>
    <t>3 052,00</t>
  </si>
  <si>
    <t>4 690,00</t>
  </si>
  <si>
    <t>FGUILL</t>
  </si>
  <si>
    <t>4 172,00</t>
  </si>
  <si>
    <t>GC415-6</t>
  </si>
  <si>
    <t>Combinée 415mm 6 opérations</t>
  </si>
  <si>
    <t>8 960,00</t>
  </si>
  <si>
    <t>GM230</t>
  </si>
  <si>
    <t>Mortaiseuse à chaîne 230mm</t>
  </si>
  <si>
    <t>2 492,00</t>
  </si>
  <si>
    <t>Raboteuse 630x300mm</t>
  </si>
  <si>
    <t>11 480,00</t>
  </si>
  <si>
    <t>Scie circulaire à format MAX - 175mm</t>
  </si>
  <si>
    <t>7 280,00</t>
  </si>
  <si>
    <t>3 600,00</t>
  </si>
  <si>
    <t>FLEMAN</t>
  </si>
  <si>
    <t>4 800,00</t>
  </si>
  <si>
    <t>LEMAN0</t>
  </si>
  <si>
    <t>LDR410-T</t>
  </si>
  <si>
    <t>Dégauchisseuse raboteuse 410mm</t>
  </si>
  <si>
    <t>2 625,00</t>
  </si>
  <si>
    <t>Mortaiseuse à mèches</t>
  </si>
  <si>
    <t>Perceuse à colonne 23mm</t>
  </si>
  <si>
    <t>Scie à onglet radiale 305mm</t>
  </si>
  <si>
    <t>Scies à onglets</t>
  </si>
  <si>
    <t>Scie à ruban 570mm</t>
  </si>
  <si>
    <t>2 145,00</t>
  </si>
  <si>
    <t>LT4-100</t>
  </si>
  <si>
    <t>1 620,00</t>
  </si>
  <si>
    <t>Liste des articles commercialisés au 31/12/2014</t>
  </si>
  <si>
    <t>Libellé article</t>
  </si>
  <si>
    <t>Raison sociale</t>
  </si>
  <si>
    <t>Conditions de règlement</t>
  </si>
  <si>
    <t>CARTDUBOIS</t>
  </si>
  <si>
    <t>ART DU BOIS JURA</t>
  </si>
  <si>
    <t>ST LAURENT EN GRANDVAUX</t>
  </si>
  <si>
    <t>C01</t>
  </si>
  <si>
    <t>CBELLE</t>
  </si>
  <si>
    <t>BELLEFON BOIS</t>
  </si>
  <si>
    <t>SAINT-CLAUDE</t>
  </si>
  <si>
    <t>LS2</t>
  </si>
  <si>
    <t>CBENOIT</t>
  </si>
  <si>
    <t>LAYETTERIE BENOÎT-GONIN</t>
  </si>
  <si>
    <t>LAJOUX</t>
  </si>
  <si>
    <t>CBERAU</t>
  </si>
  <si>
    <t>BERAUDIE</t>
  </si>
  <si>
    <t>SAINT GERMAIN LES ARLAY</t>
  </si>
  <si>
    <t>CBLANC</t>
  </si>
  <si>
    <t>BLANC FRÈRES</t>
  </si>
  <si>
    <t>BEAUFORT</t>
  </si>
  <si>
    <t>CBOIS39</t>
  </si>
  <si>
    <t>BOIS 39</t>
  </si>
  <si>
    <t>CHAMPAGNOLE</t>
  </si>
  <si>
    <t>CBOISSON</t>
  </si>
  <si>
    <t>BOISSON FRÈRES</t>
  </si>
  <si>
    <t>MEUSSIA</t>
  </si>
  <si>
    <t>C02</t>
  </si>
  <si>
    <t>CBOUTON</t>
  </si>
  <si>
    <t>ETS BOUTON SARL</t>
  </si>
  <si>
    <t>VIRIAT</t>
  </si>
  <si>
    <t>CBRICOLAGE</t>
  </si>
  <si>
    <t>MR BRICOLAGE</t>
  </si>
  <si>
    <t>MONTMOROT</t>
  </si>
  <si>
    <t>CCHEVALIER</t>
  </si>
  <si>
    <t>CHEVALIER GIROD</t>
  </si>
  <si>
    <t>LES ROUSSES</t>
  </si>
  <si>
    <t>LS1</t>
  </si>
  <si>
    <t>CCMAB</t>
  </si>
  <si>
    <t>C-MAB</t>
  </si>
  <si>
    <t>FRASNE</t>
  </si>
  <si>
    <t>CDUCHENE</t>
  </si>
  <si>
    <t>CHARPENTES DUCHENE</t>
  </si>
  <si>
    <t>VADANS</t>
  </si>
  <si>
    <t>LC1</t>
  </si>
  <si>
    <t>CFADER</t>
  </si>
  <si>
    <t>FADER AFFUTAGE</t>
  </si>
  <si>
    <t>CHALEZEULE</t>
  </si>
  <si>
    <t>V01</t>
  </si>
  <si>
    <t>CGEANTLONS</t>
  </si>
  <si>
    <t>GÉANT CASINO</t>
  </si>
  <si>
    <t>LONS LE SAULNIER</t>
  </si>
  <si>
    <t>CGONNET</t>
  </si>
  <si>
    <t>PHILIPPE GONNET MACHINES À BOIS</t>
  </si>
  <si>
    <t>ST ETIENNE</t>
  </si>
  <si>
    <t>LC2</t>
  </si>
  <si>
    <t>CGRAND</t>
  </si>
  <si>
    <t>GRANDCHAVAIN</t>
  </si>
  <si>
    <t>MOREZ</t>
  </si>
  <si>
    <t>CLANCON</t>
  </si>
  <si>
    <t>LANÇON ET FILS</t>
  </si>
  <si>
    <t>ST CLAUDE</t>
  </si>
  <si>
    <t>CLEROYM</t>
  </si>
  <si>
    <t>LEROY MERLIN</t>
  </si>
  <si>
    <t>THOIRY</t>
  </si>
  <si>
    <t>CLIZON</t>
  </si>
  <si>
    <t>MENUISERIE LIZON</t>
  </si>
  <si>
    <t>CLOMIBOIS</t>
  </si>
  <si>
    <t>LOMIBOIS</t>
  </si>
  <si>
    <t>PERRIGNY</t>
  </si>
  <si>
    <t>CPARRE</t>
  </si>
  <si>
    <t>PARREAU</t>
  </si>
  <si>
    <t>LONS-LE-SAUNIER</t>
  </si>
  <si>
    <t>CPOUX</t>
  </si>
  <si>
    <t>MENUISERIE POUX SARL</t>
  </si>
  <si>
    <t>POLIGNY</t>
  </si>
  <si>
    <t>CRAMEA</t>
  </si>
  <si>
    <t>RAMEAU</t>
  </si>
  <si>
    <t>DOLE</t>
  </si>
  <si>
    <t>CRUBIN</t>
  </si>
  <si>
    <t>RUBIN</t>
  </si>
  <si>
    <t>CTABLETTTE</t>
  </si>
  <si>
    <t>TABLETTERIE DES LACS</t>
  </si>
  <si>
    <t>PONT DE POITTE</t>
  </si>
  <si>
    <t>CTHIERY</t>
  </si>
  <si>
    <t>CHARPENTES LAURENT THIERY</t>
  </si>
  <si>
    <t>AUMONT</t>
  </si>
  <si>
    <t>CTHIRION</t>
  </si>
  <si>
    <t>THIRION MACHINES À BOIS</t>
  </si>
  <si>
    <t>MOUCHARD</t>
  </si>
  <si>
    <t>CTROUTIER</t>
  </si>
  <si>
    <t>ROLAND TROUTIER</t>
  </si>
  <si>
    <t>AUTECHAUX</t>
  </si>
  <si>
    <t>CVELA</t>
  </si>
  <si>
    <t>VELA VEB FRANCE LOVATO</t>
  </si>
  <si>
    <t>LONS LE SAUNIER</t>
  </si>
  <si>
    <t>CVERNIER</t>
  </si>
  <si>
    <t>VERNIER</t>
  </si>
  <si>
    <t>FALLETANS</t>
  </si>
  <si>
    <t>0384346778</t>
  </si>
  <si>
    <t>0951170810</t>
  </si>
  <si>
    <t>0384354657</t>
  </si>
  <si>
    <t>0384250272</t>
  </si>
  <si>
    <t>0384524927</t>
  </si>
  <si>
    <t>0384420175</t>
  </si>
  <si>
    <t>0474221576</t>
  </si>
  <si>
    <t>0384870001</t>
  </si>
  <si>
    <t>0384600722</t>
  </si>
  <si>
    <t>0381383705</t>
  </si>
  <si>
    <t>0360840137</t>
  </si>
  <si>
    <t>0381617070</t>
  </si>
  <si>
    <t>0384856400</t>
  </si>
  <si>
    <t>0477335442</t>
  </si>
  <si>
    <t>0384369745</t>
  </si>
  <si>
    <t>0384451445</t>
  </si>
  <si>
    <t>0450994999</t>
  </si>
  <si>
    <t>0384603304</t>
  </si>
  <si>
    <t>0384241002</t>
  </si>
  <si>
    <t>0384372796</t>
  </si>
  <si>
    <t>0384030405</t>
  </si>
  <si>
    <t>0384526560</t>
  </si>
  <si>
    <t>0963221215</t>
  </si>
  <si>
    <t>0384739012</t>
  </si>
  <si>
    <t>0384378506</t>
  </si>
  <si>
    <t>0381579509</t>
  </si>
  <si>
    <t>0384243205</t>
  </si>
  <si>
    <t>Liste des clients au 31/12/2014</t>
  </si>
  <si>
    <t>01710</t>
  </si>
  <si>
    <t>FATTAC</t>
  </si>
  <si>
    <t>ATTAC STATION</t>
  </si>
  <si>
    <t>VOITEUR</t>
  </si>
  <si>
    <t>FCEGID</t>
  </si>
  <si>
    <t>LYON</t>
  </si>
  <si>
    <t>FCOGEF</t>
  </si>
  <si>
    <t>COGEF</t>
  </si>
  <si>
    <t>ARBOIS</t>
  </si>
  <si>
    <t>FEDF00</t>
  </si>
  <si>
    <t>EDF</t>
  </si>
  <si>
    <t>P01</t>
  </si>
  <si>
    <t>FELDER FRANCE</t>
  </si>
  <si>
    <t>SAINT PRIEST</t>
  </si>
  <si>
    <t>COUSANCE</t>
  </si>
  <si>
    <t>FLEBUR</t>
  </si>
  <si>
    <t>LE BUREAU</t>
  </si>
  <si>
    <t>LA TOUR DU PIN</t>
  </si>
  <si>
    <t>FNATIX</t>
  </si>
  <si>
    <t>NATIXIS CREDIT BAIL</t>
  </si>
  <si>
    <t>FORANG</t>
  </si>
  <si>
    <t>ORANGE PRO</t>
  </si>
  <si>
    <t>FPERON</t>
  </si>
  <si>
    <t>PERONO</t>
  </si>
  <si>
    <t>FPEUGE</t>
  </si>
  <si>
    <t>PEUGEOT</t>
  </si>
  <si>
    <t>C03</t>
  </si>
  <si>
    <t>FRENAU</t>
  </si>
  <si>
    <t>RENAULT</t>
  </si>
  <si>
    <t>FRESTA</t>
  </si>
  <si>
    <t>RESTAURANTS</t>
  </si>
  <si>
    <t>Code tiers</t>
  </si>
  <si>
    <t>Liste des fournisseurs au 31/12/2014</t>
  </si>
  <si>
    <t>Conditions de règlement pratiquées</t>
  </si>
  <si>
    <t>Chq comptant</t>
  </si>
  <si>
    <t>Chq 30 jours</t>
  </si>
  <si>
    <t>LCA 30 jours</t>
  </si>
  <si>
    <t>LCA 30 jours fin de mois</t>
  </si>
  <si>
    <t>LCS 30 jours fin de mois</t>
  </si>
  <si>
    <t>Virement 30 jours</t>
  </si>
  <si>
    <t>VIS</t>
  </si>
  <si>
    <t>Virement salaires</t>
  </si>
  <si>
    <t>Chq 30 jours fin de mois</t>
  </si>
  <si>
    <t>Prélèvement</t>
  </si>
  <si>
    <t>Liste des familles utilisées en gestion commerciale</t>
  </si>
  <si>
    <t>URSSAF+Pôle Emploi</t>
  </si>
  <si>
    <t>Retraite/prév.</t>
  </si>
  <si>
    <t>Echéancier fiscal et social 2015-2016 - à poursuivre</t>
  </si>
  <si>
    <t>Compte</t>
  </si>
  <si>
    <t>N° fiche</t>
  </si>
  <si>
    <t>Date entrée</t>
  </si>
  <si>
    <t>Type entrée</t>
  </si>
  <si>
    <t>Taux comptable</t>
  </si>
  <si>
    <t>Taux fiscal</t>
  </si>
  <si>
    <t>Base comptable</t>
  </si>
  <si>
    <t>Base fiscale</t>
  </si>
  <si>
    <t>TERR01</t>
  </si>
  <si>
    <t>TERRAIN BATIMENT</t>
  </si>
  <si>
    <t>acquisition</t>
  </si>
  <si>
    <t>non amortissable</t>
  </si>
  <si>
    <t>CONS01</t>
  </si>
  <si>
    <t>BATIMENT</t>
  </si>
  <si>
    <t>linéaire</t>
  </si>
  <si>
    <t>TRAN01</t>
  </si>
  <si>
    <t>INF01</t>
  </si>
  <si>
    <t>ORDINATEUR ACER</t>
  </si>
  <si>
    <t>INF02</t>
  </si>
  <si>
    <t>PORTABLE ASUS</t>
  </si>
  <si>
    <t>MOB01</t>
  </si>
  <si>
    <t>BUREAU GERANT</t>
  </si>
  <si>
    <t>MOB02</t>
  </si>
  <si>
    <t>BUREAU SECRETARIAT</t>
  </si>
  <si>
    <t>TRAN02</t>
  </si>
  <si>
    <t>C6580</t>
  </si>
  <si>
    <t>COPIEUR MULTIFONCTION RESEAU</t>
  </si>
  <si>
    <t>crédit-bail</t>
  </si>
  <si>
    <t>CEGID BS</t>
  </si>
  <si>
    <t>PGI BUSINESS SUITE</t>
  </si>
  <si>
    <t>spécifique</t>
  </si>
  <si>
    <t>Liste des immobilisations au 31/12/2014</t>
  </si>
  <si>
    <t>Méthode comptable</t>
  </si>
  <si>
    <t>Méthode fiscale</t>
  </si>
  <si>
    <t>RENAULT KANGOO (VU)</t>
  </si>
  <si>
    <t>PEUGEOT 207 (VP - occasion)</t>
  </si>
  <si>
    <t>NOTA : les deux véhicules sont des véhicules Diesel, le taux d’émission de dioxyde de carbone de la 207 est de 95g par kilomètre</t>
  </si>
  <si>
    <t>Obtenues des fournisseurs</t>
  </si>
  <si>
    <t>Conditions commerciales au 31/12/2014</t>
  </si>
  <si>
    <t>FELDER</t>
  </si>
  <si>
    <t>Fournisseur</t>
  </si>
  <si>
    <t>Non</t>
  </si>
  <si>
    <t>Règlement</t>
  </si>
  <si>
    <t>LCS à 30 jours</t>
  </si>
  <si>
    <t>Mr Bricolage</t>
  </si>
  <si>
    <t>Accordées aux clients "Grande Distribution"</t>
  </si>
  <si>
    <t>Port</t>
  </si>
  <si>
    <t>Franco</t>
  </si>
  <si>
    <t>Franco de port pour tous les clients dont la commandé atteint 10 000€</t>
  </si>
  <si>
    <t>Géant Casino</t>
  </si>
  <si>
    <t>Leroy Merlin</t>
  </si>
  <si>
    <t>Client</t>
  </si>
  <si>
    <t>Variable</t>
  </si>
  <si>
    <t>Remise/facture</t>
  </si>
  <si>
    <t>Remise annuelle</t>
  </si>
  <si>
    <t>NON</t>
  </si>
  <si>
    <t xml:space="preserve"> NON</t>
  </si>
  <si>
    <t>Une négociation devra être menée en 2015 pour obtenir une ristourne sur CA fin 2015</t>
  </si>
  <si>
    <t>Les remises variables devront faire l'objet d'une négociation courant 2015.</t>
  </si>
  <si>
    <t xml:space="preserve">Les clients </t>
  </si>
  <si>
    <t>Autres</t>
  </si>
  <si>
    <t xml:space="preserve">Taxe apprentissage </t>
  </si>
  <si>
    <t>Commentaires</t>
  </si>
  <si>
    <t>A payer au lycée du bois de Mouchard</t>
  </si>
  <si>
    <t>A payer à l'AGEFOS PME Besançon</t>
  </si>
  <si>
    <t>CS 4° TR
Régul. 2014</t>
  </si>
  <si>
    <t>15/01/2015
30/01/2015</t>
  </si>
  <si>
    <t>4°TR +
Régul.2014</t>
  </si>
  <si>
    <t>TVTS</t>
  </si>
  <si>
    <t>(140866,03-38120)/3</t>
  </si>
  <si>
    <t>CICE (hors M. Grandclément&gt;plafond rémun.)</t>
  </si>
  <si>
    <t>CICE (149730x6%)</t>
  </si>
  <si>
    <t>IS 2014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</si>
</sst>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.000%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0">
    <xf numFmtId="0" fontId="0" fillId="0" borderId="0" xfId="0"/>
    <xf numFmtId="2" fontId="0" fillId="0" borderId="0" xfId="0" applyNumberFormat="1"/>
    <xf numFmtId="0" fontId="2" fillId="0" borderId="1" xfId="0" applyFont="1" applyFill="1" applyBorder="1" applyAlignment="1">
      <alignment horizontal="justify" vertical="top" wrapText="1"/>
    </xf>
    <xf numFmtId="2" fontId="0" fillId="0" borderId="1" xfId="0" applyNumberFormat="1" applyBorder="1"/>
    <xf numFmtId="0" fontId="2" fillId="0" borderId="1" xfId="0" applyFont="1" applyBorder="1" applyAlignment="1">
      <alignment horizontal="justify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3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164" fontId="0" fillId="0" borderId="0" xfId="1" applyNumberFormat="1" applyFont="1"/>
    <xf numFmtId="10" fontId="0" fillId="0" borderId="0" xfId="0" applyNumberFormat="1"/>
    <xf numFmtId="0" fontId="7" fillId="0" borderId="0" xfId="0" applyFont="1"/>
    <xf numFmtId="0" fontId="0" fillId="2" borderId="1" xfId="0" applyFill="1" applyBorder="1"/>
    <xf numFmtId="0" fontId="0" fillId="0" borderId="1" xfId="0" applyFill="1" applyBorder="1"/>
    <xf numFmtId="0" fontId="8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2" applyFont="1" applyBorder="1"/>
    <xf numFmtId="43" fontId="0" fillId="0" borderId="1" xfId="2" applyFont="1" applyBorder="1" applyAlignment="1"/>
    <xf numFmtId="0" fontId="10" fillId="0" borderId="0" xfId="0" applyFont="1"/>
    <xf numFmtId="2" fontId="1" fillId="0" borderId="0" xfId="0" applyNumberFormat="1" applyFont="1"/>
    <xf numFmtId="0" fontId="0" fillId="0" borderId="1" xfId="0" quotePrefix="1" applyBorder="1"/>
    <xf numFmtId="9" fontId="0" fillId="0" borderId="1" xfId="0" applyNumberFormat="1" applyBorder="1"/>
    <xf numFmtId="43" fontId="1" fillId="0" borderId="1" xfId="2" applyFont="1" applyBorder="1"/>
    <xf numFmtId="43" fontId="0" fillId="0" borderId="1" xfId="0" applyNumberFormat="1" applyBorder="1"/>
    <xf numFmtId="0" fontId="1" fillId="4" borderId="0" xfId="0" applyFont="1" applyFill="1"/>
    <xf numFmtId="8" fontId="0" fillId="4" borderId="0" xfId="0" applyNumberFormat="1" applyFont="1" applyFill="1"/>
    <xf numFmtId="0" fontId="0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8" borderId="1" xfId="0" applyFont="1" applyFill="1" applyBorder="1"/>
    <xf numFmtId="0" fontId="0" fillId="8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3" fontId="0" fillId="0" borderId="1" xfId="2" applyFont="1" applyBorder="1" applyAlignment="1">
      <alignment horizontal="right" vertical="center"/>
    </xf>
    <xf numFmtId="43" fontId="0" fillId="0" borderId="1" xfId="2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/>
    </xf>
    <xf numFmtId="0" fontId="4" fillId="2" borderId="0" xfId="0" applyFont="1" applyFill="1" applyBorder="1" applyAlignment="1"/>
    <xf numFmtId="43" fontId="0" fillId="0" borderId="1" xfId="2" applyFont="1" applyBorder="1" applyAlignment="1">
      <alignment horizontal="right"/>
    </xf>
    <xf numFmtId="10" fontId="0" fillId="0" borderId="1" xfId="1" applyNumberFormat="1" applyFont="1" applyBorder="1"/>
    <xf numFmtId="9" fontId="0" fillId="0" borderId="1" xfId="0" applyNumberFormat="1" applyBorder="1" applyAlignment="1">
      <alignment horizontal="center"/>
    </xf>
    <xf numFmtId="0" fontId="0" fillId="0" borderId="5" xfId="0" applyFill="1" applyBorder="1"/>
    <xf numFmtId="0" fontId="11" fillId="0" borderId="5" xfId="0" applyFont="1" applyFill="1" applyBorder="1"/>
    <xf numFmtId="0" fontId="0" fillId="2" borderId="0" xfId="0" applyFill="1"/>
    <xf numFmtId="0" fontId="10" fillId="0" borderId="1" xfId="0" applyFont="1" applyBorder="1"/>
    <xf numFmtId="0" fontId="0" fillId="0" borderId="1" xfId="0" applyBorder="1" applyAlignment="1">
      <alignment wrapText="1"/>
    </xf>
    <xf numFmtId="14" fontId="0" fillId="9" borderId="1" xfId="0" applyNumberFormat="1" applyFill="1" applyBorder="1"/>
    <xf numFmtId="14" fontId="0" fillId="9" borderId="1" xfId="0" applyNumberFormat="1" applyFill="1" applyBorder="1" applyAlignment="1">
      <alignment wrapText="1"/>
    </xf>
    <xf numFmtId="43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8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8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2" applyNumberFormat="1" applyFont="1" applyBorder="1" applyAlignment="1">
      <alignment horizontal="center"/>
    </xf>
    <xf numFmtId="2" fontId="1" fillId="0" borderId="4" xfId="2" applyNumberFormat="1" applyFont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66"/>
      <color rgb="FFFFCC99"/>
      <color rgb="FF99FF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tabSelected="1" workbookViewId="0">
      <selection activeCell="A2" sqref="A2"/>
    </sheetView>
  </sheetViews>
  <sheetFormatPr baseColWidth="10" defaultRowHeight="15"/>
  <cols>
    <col min="2" max="2" width="45.5703125" customWidth="1"/>
    <col min="3" max="3" width="11.5703125" bestFit="1" customWidth="1"/>
  </cols>
  <sheetData>
    <row r="1" spans="1:4" ht="18.75">
      <c r="A1" s="75" t="s">
        <v>233</v>
      </c>
      <c r="B1" s="75"/>
      <c r="C1" s="75"/>
      <c r="D1" s="75"/>
    </row>
    <row r="2" spans="1:4" ht="17.25" customHeight="1">
      <c r="A2" s="4">
        <v>101300</v>
      </c>
      <c r="B2" s="4" t="s">
        <v>0</v>
      </c>
      <c r="C2" s="5"/>
      <c r="D2" s="5">
        <v>20000</v>
      </c>
    </row>
    <row r="3" spans="1:4" ht="18" customHeight="1">
      <c r="A3" s="4">
        <v>164000</v>
      </c>
      <c r="B3" s="4" t="s">
        <v>1</v>
      </c>
      <c r="C3" s="5"/>
      <c r="D3" s="5">
        <v>15000</v>
      </c>
    </row>
    <row r="4" spans="1:4">
      <c r="A4" s="4">
        <v>211000</v>
      </c>
      <c r="B4" s="4" t="s">
        <v>2</v>
      </c>
      <c r="C4" s="5">
        <v>10000</v>
      </c>
      <c r="D4" s="5"/>
    </row>
    <row r="5" spans="1:4" ht="18" customHeight="1">
      <c r="A5" s="4">
        <v>213000</v>
      </c>
      <c r="B5" s="4" t="s">
        <v>3</v>
      </c>
      <c r="C5" s="5">
        <v>50000</v>
      </c>
      <c r="D5" s="5"/>
    </row>
    <row r="6" spans="1:4" ht="18.75" customHeight="1">
      <c r="A6" s="4">
        <v>218200</v>
      </c>
      <c r="B6" s="4" t="s">
        <v>47</v>
      </c>
      <c r="C6" s="5">
        <v>20000</v>
      </c>
      <c r="D6" s="5"/>
    </row>
    <row r="7" spans="1:4" ht="18.75" customHeight="1">
      <c r="A7" s="4">
        <v>218300</v>
      </c>
      <c r="B7" s="4" t="s">
        <v>48</v>
      </c>
      <c r="C7" s="5">
        <v>3000</v>
      </c>
      <c r="D7" s="5"/>
    </row>
    <row r="8" spans="1:4">
      <c r="A8" s="4">
        <v>218400</v>
      </c>
      <c r="B8" s="4" t="s">
        <v>4</v>
      </c>
      <c r="C8" s="5">
        <v>2000</v>
      </c>
      <c r="D8" s="5"/>
    </row>
    <row r="9" spans="1:4" ht="16.5" customHeight="1">
      <c r="A9" s="4">
        <v>281300</v>
      </c>
      <c r="B9" s="4" t="s">
        <v>5</v>
      </c>
      <c r="C9" s="5"/>
      <c r="D9" s="5">
        <v>2000</v>
      </c>
    </row>
    <row r="10" spans="1:4" ht="18" customHeight="1">
      <c r="A10" s="4">
        <v>281820</v>
      </c>
      <c r="B10" s="4" t="s">
        <v>6</v>
      </c>
      <c r="C10" s="5"/>
      <c r="D10" s="5">
        <v>4000</v>
      </c>
    </row>
    <row r="11" spans="1:4" ht="17.25" customHeight="1">
      <c r="A11" s="4">
        <v>281830</v>
      </c>
      <c r="B11" s="4" t="s">
        <v>7</v>
      </c>
      <c r="C11" s="5"/>
      <c r="D11" s="5">
        <v>750</v>
      </c>
    </row>
    <row r="12" spans="1:4" ht="15.75" customHeight="1">
      <c r="A12" s="4">
        <v>281840</v>
      </c>
      <c r="B12" s="4" t="s">
        <v>8</v>
      </c>
      <c r="C12" s="5"/>
      <c r="D12" s="5">
        <v>200</v>
      </c>
    </row>
    <row r="13" spans="1:4" ht="16.5" customHeight="1">
      <c r="A13" s="4">
        <v>371000</v>
      </c>
      <c r="B13" s="4" t="s">
        <v>49</v>
      </c>
      <c r="C13" s="5">
        <v>7360</v>
      </c>
      <c r="D13" s="5"/>
    </row>
    <row r="14" spans="1:4" ht="14.25" customHeight="1">
      <c r="A14" s="4">
        <v>372000</v>
      </c>
      <c r="B14" s="4" t="s">
        <v>50</v>
      </c>
      <c r="C14" s="5">
        <v>9550</v>
      </c>
      <c r="D14" s="5"/>
    </row>
    <row r="15" spans="1:4" ht="16.5" customHeight="1">
      <c r="A15" s="4">
        <v>401100</v>
      </c>
      <c r="B15" s="4" t="s">
        <v>9</v>
      </c>
      <c r="C15" s="5"/>
      <c r="D15" s="5">
        <v>7500</v>
      </c>
    </row>
    <row r="16" spans="1:4">
      <c r="A16" s="4">
        <v>411000</v>
      </c>
      <c r="B16" s="4" t="s">
        <v>10</v>
      </c>
      <c r="C16" s="5">
        <v>5000</v>
      </c>
      <c r="D16" s="5"/>
    </row>
    <row r="17" spans="1:7" ht="16.5" customHeight="1">
      <c r="A17" s="4">
        <v>421000</v>
      </c>
      <c r="B17" s="4" t="s">
        <v>11</v>
      </c>
      <c r="C17" s="5"/>
      <c r="D17" s="5">
        <v>11700</v>
      </c>
    </row>
    <row r="18" spans="1:7" ht="17.25" customHeight="1">
      <c r="A18" s="4">
        <v>428200</v>
      </c>
      <c r="B18" s="4" t="s">
        <v>12</v>
      </c>
      <c r="C18" s="5"/>
      <c r="D18" s="5">
        <v>7000</v>
      </c>
      <c r="G18" s="9"/>
    </row>
    <row r="19" spans="1:7" ht="17.25" customHeight="1">
      <c r="A19" s="4">
        <v>431000</v>
      </c>
      <c r="B19" s="4" t="s">
        <v>13</v>
      </c>
      <c r="C19" s="5"/>
      <c r="D19" s="5">
        <v>4500</v>
      </c>
      <c r="G19" s="9"/>
    </row>
    <row r="20" spans="1:7" ht="17.25" customHeight="1">
      <c r="A20" s="4">
        <v>437000</v>
      </c>
      <c r="B20" s="4" t="s">
        <v>14</v>
      </c>
      <c r="C20" s="5"/>
      <c r="D20" s="5">
        <v>2500</v>
      </c>
      <c r="G20" s="9"/>
    </row>
    <row r="21" spans="1:7" ht="17.25" customHeight="1">
      <c r="A21" s="4">
        <v>438200</v>
      </c>
      <c r="B21" s="4" t="s">
        <v>19</v>
      </c>
      <c r="C21" s="5"/>
      <c r="D21" s="5">
        <v>2800</v>
      </c>
      <c r="G21" s="10"/>
    </row>
    <row r="22" spans="1:7" ht="18.75" customHeight="1">
      <c r="A22" s="4">
        <v>444000</v>
      </c>
      <c r="B22" s="4" t="s">
        <v>15</v>
      </c>
      <c r="C22" s="5"/>
      <c r="D22" s="5">
        <v>3050</v>
      </c>
      <c r="G22" s="9"/>
    </row>
    <row r="23" spans="1:7" ht="16.5" customHeight="1">
      <c r="A23" s="4">
        <v>445510</v>
      </c>
      <c r="B23" s="4" t="s">
        <v>16</v>
      </c>
      <c r="C23" s="5"/>
      <c r="D23" s="5">
        <v>2420</v>
      </c>
      <c r="G23" s="10"/>
    </row>
    <row r="24" spans="1:7">
      <c r="A24" s="4">
        <v>512100</v>
      </c>
      <c r="B24" s="4" t="s">
        <v>45</v>
      </c>
      <c r="C24" s="5">
        <v>17110</v>
      </c>
      <c r="D24" s="5"/>
      <c r="G24" s="11"/>
    </row>
    <row r="25" spans="1:7">
      <c r="A25" s="4">
        <v>531100</v>
      </c>
      <c r="B25" s="4" t="s">
        <v>17</v>
      </c>
      <c r="C25" s="5">
        <v>175</v>
      </c>
      <c r="D25" s="5"/>
      <c r="G25" s="11"/>
    </row>
    <row r="26" spans="1:7" ht="15.75" customHeight="1">
      <c r="A26" s="74" t="s">
        <v>44</v>
      </c>
      <c r="B26" s="74"/>
      <c r="C26" s="6">
        <f>SUM(C2:C25)</f>
        <v>124195</v>
      </c>
      <c r="D26" s="6">
        <f>SUM(D2:D25)</f>
        <v>83420</v>
      </c>
      <c r="E26" s="1">
        <f>+C26-D26</f>
        <v>40775</v>
      </c>
    </row>
    <row r="27" spans="1:7" ht="13.5" customHeight="1">
      <c r="A27" s="2">
        <v>603700</v>
      </c>
      <c r="B27" s="7" t="s">
        <v>46</v>
      </c>
      <c r="C27" s="8"/>
      <c r="D27" s="8">
        <v>16910</v>
      </c>
      <c r="E27" s="1"/>
    </row>
    <row r="28" spans="1:7" ht="13.5" customHeight="1">
      <c r="A28" s="2">
        <v>606400</v>
      </c>
      <c r="B28" s="7" t="s">
        <v>55</v>
      </c>
      <c r="C28" s="8">
        <v>935</v>
      </c>
      <c r="D28" s="8"/>
      <c r="E28" s="1"/>
    </row>
    <row r="29" spans="1:7">
      <c r="A29" s="2">
        <v>607100</v>
      </c>
      <c r="B29" s="2" t="s">
        <v>51</v>
      </c>
      <c r="C29" s="3">
        <f>357220+C13</f>
        <v>364580</v>
      </c>
      <c r="D29" s="3"/>
    </row>
    <row r="30" spans="1:7">
      <c r="A30" s="2">
        <v>607200</v>
      </c>
      <c r="B30" s="2" t="s">
        <v>52</v>
      </c>
      <c r="C30" s="3">
        <f>312481+C14</f>
        <v>322031</v>
      </c>
      <c r="D30" s="3"/>
    </row>
    <row r="31" spans="1:7">
      <c r="A31" s="2">
        <v>612200</v>
      </c>
      <c r="B31" s="2" t="s">
        <v>18</v>
      </c>
      <c r="C31" s="3">
        <v>820</v>
      </c>
      <c r="D31" s="3"/>
    </row>
    <row r="32" spans="1:7">
      <c r="A32" s="2">
        <v>615000</v>
      </c>
      <c r="B32" s="2" t="s">
        <v>20</v>
      </c>
      <c r="C32" s="3">
        <v>2820</v>
      </c>
      <c r="D32" s="3"/>
    </row>
    <row r="33" spans="1:4">
      <c r="A33" s="2">
        <v>616000</v>
      </c>
      <c r="B33" s="2" t="s">
        <v>21</v>
      </c>
      <c r="C33" s="3">
        <v>1560</v>
      </c>
      <c r="D33" s="3"/>
    </row>
    <row r="34" spans="1:4">
      <c r="A34" s="2">
        <v>618300</v>
      </c>
      <c r="B34" s="2" t="s">
        <v>22</v>
      </c>
      <c r="C34" s="3">
        <v>1256</v>
      </c>
      <c r="D34" s="3"/>
    </row>
    <row r="35" spans="1:4">
      <c r="A35" s="2">
        <v>622600</v>
      </c>
      <c r="B35" s="2" t="s">
        <v>23</v>
      </c>
      <c r="C35" s="3">
        <v>12620</v>
      </c>
      <c r="D35" s="3"/>
    </row>
    <row r="36" spans="1:4">
      <c r="A36" s="2">
        <v>623100</v>
      </c>
      <c r="B36" s="2" t="s">
        <v>24</v>
      </c>
      <c r="C36" s="3">
        <v>9680</v>
      </c>
      <c r="D36" s="3"/>
    </row>
    <row r="37" spans="1:4">
      <c r="A37" s="2">
        <v>623300</v>
      </c>
      <c r="B37" s="2" t="s">
        <v>25</v>
      </c>
      <c r="C37" s="3">
        <v>2470</v>
      </c>
      <c r="D37" s="3"/>
    </row>
    <row r="38" spans="1:4">
      <c r="A38" s="2">
        <v>623800</v>
      </c>
      <c r="B38" s="2" t="s">
        <v>26</v>
      </c>
      <c r="C38" s="3">
        <v>654</v>
      </c>
      <c r="D38" s="3"/>
    </row>
    <row r="39" spans="1:4">
      <c r="A39" s="2">
        <v>624100</v>
      </c>
      <c r="B39" s="2" t="s">
        <v>27</v>
      </c>
      <c r="C39" s="3">
        <v>1325</v>
      </c>
      <c r="D39" s="3"/>
    </row>
    <row r="40" spans="1:4">
      <c r="A40" s="2">
        <v>624200</v>
      </c>
      <c r="B40" s="2" t="s">
        <v>28</v>
      </c>
      <c r="C40" s="3">
        <v>658</v>
      </c>
      <c r="D40" s="3"/>
    </row>
    <row r="41" spans="1:4">
      <c r="A41" s="2">
        <v>627000</v>
      </c>
      <c r="B41" s="2" t="s">
        <v>38</v>
      </c>
      <c r="C41" s="3">
        <v>370</v>
      </c>
      <c r="D41" s="3"/>
    </row>
    <row r="42" spans="1:4">
      <c r="A42" s="2">
        <v>633000</v>
      </c>
      <c r="B42" s="2" t="s">
        <v>29</v>
      </c>
      <c r="C42" s="3">
        <f>(120000/0.75)*1.23%</f>
        <v>1968</v>
      </c>
      <c r="D42" s="3"/>
    </row>
    <row r="43" spans="1:4">
      <c r="A43" s="2">
        <v>635100</v>
      </c>
      <c r="B43" s="2" t="s">
        <v>30</v>
      </c>
      <c r="C43" s="3">
        <v>2540</v>
      </c>
      <c r="D43" s="3"/>
    </row>
    <row r="44" spans="1:4">
      <c r="A44" s="2">
        <v>641000</v>
      </c>
      <c r="B44" s="2" t="s">
        <v>31</v>
      </c>
      <c r="C44" s="3">
        <v>160210</v>
      </c>
      <c r="D44" s="3"/>
    </row>
    <row r="45" spans="1:4">
      <c r="A45" s="2">
        <v>645100</v>
      </c>
      <c r="B45" s="2" t="s">
        <v>32</v>
      </c>
      <c r="C45" s="3">
        <v>56070</v>
      </c>
      <c r="D45" s="3"/>
    </row>
    <row r="46" spans="1:4">
      <c r="A46" s="2">
        <v>645200</v>
      </c>
      <c r="B46" s="2" t="s">
        <v>33</v>
      </c>
      <c r="C46" s="3">
        <v>6020</v>
      </c>
      <c r="D46" s="3"/>
    </row>
    <row r="47" spans="1:4">
      <c r="A47" s="2">
        <v>645300</v>
      </c>
      <c r="B47" s="2" t="s">
        <v>34</v>
      </c>
      <c r="C47" s="3">
        <v>12420</v>
      </c>
      <c r="D47" s="3"/>
    </row>
    <row r="48" spans="1:4">
      <c r="A48" s="2">
        <v>647500</v>
      </c>
      <c r="B48" s="2" t="s">
        <v>35</v>
      </c>
      <c r="C48" s="3">
        <v>968</v>
      </c>
      <c r="D48" s="3"/>
    </row>
    <row r="49" spans="1:7">
      <c r="A49" s="2">
        <v>654000</v>
      </c>
      <c r="B49" s="2" t="s">
        <v>36</v>
      </c>
      <c r="C49" s="3">
        <v>1080</v>
      </c>
      <c r="D49" s="3"/>
    </row>
    <row r="50" spans="1:7">
      <c r="A50" s="2">
        <v>661100</v>
      </c>
      <c r="B50" s="2" t="s">
        <v>37</v>
      </c>
      <c r="C50" s="3">
        <v>680</v>
      </c>
      <c r="D50" s="3"/>
    </row>
    <row r="51" spans="1:7">
      <c r="A51" s="2">
        <v>665000</v>
      </c>
      <c r="B51" s="2" t="s">
        <v>39</v>
      </c>
      <c r="C51" s="3">
        <v>340</v>
      </c>
      <c r="D51" s="3"/>
    </row>
    <row r="52" spans="1:7">
      <c r="A52" s="2">
        <v>671200</v>
      </c>
      <c r="B52" s="2" t="s">
        <v>57</v>
      </c>
      <c r="C52" s="3">
        <v>120</v>
      </c>
      <c r="D52" s="3"/>
    </row>
    <row r="53" spans="1:7">
      <c r="A53" s="2">
        <v>681100</v>
      </c>
      <c r="B53" s="2" t="s">
        <v>40</v>
      </c>
      <c r="C53" s="3">
        <v>6950</v>
      </c>
      <c r="D53" s="3"/>
    </row>
    <row r="54" spans="1:7">
      <c r="A54" s="2">
        <v>695000</v>
      </c>
      <c r="B54" s="2" t="s">
        <v>41</v>
      </c>
      <c r="C54" s="3">
        <v>16050</v>
      </c>
      <c r="D54" s="3"/>
    </row>
    <row r="55" spans="1:7">
      <c r="A55" s="2">
        <v>707100</v>
      </c>
      <c r="B55" s="2" t="s">
        <v>53</v>
      </c>
      <c r="C55" s="3"/>
      <c r="D55" s="3">
        <v>530220</v>
      </c>
    </row>
    <row r="56" spans="1:7">
      <c r="A56" s="2">
        <v>707200</v>
      </c>
      <c r="B56" s="2" t="s">
        <v>54</v>
      </c>
      <c r="C56" s="3"/>
      <c r="D56" s="3">
        <v>480560</v>
      </c>
    </row>
    <row r="57" spans="1:7">
      <c r="A57" s="2">
        <v>765000</v>
      </c>
      <c r="B57" s="2" t="s">
        <v>42</v>
      </c>
      <c r="C57" s="3"/>
      <c r="D57" s="3">
        <v>280</v>
      </c>
      <c r="E57" s="1"/>
      <c r="F57" s="1"/>
      <c r="G57" s="1"/>
    </row>
    <row r="58" spans="1:7">
      <c r="A58" s="73" t="s">
        <v>43</v>
      </c>
      <c r="B58" s="73"/>
      <c r="C58" s="1">
        <f>SUM(C27:C57)</f>
        <v>987195</v>
      </c>
      <c r="D58" s="1">
        <f>SUM(D27:D57)</f>
        <v>1027970</v>
      </c>
      <c r="E58" s="1">
        <f>D58-C58</f>
        <v>40775</v>
      </c>
      <c r="F58" s="1"/>
      <c r="G58" s="1"/>
    </row>
    <row r="59" spans="1:7">
      <c r="A59" s="76" t="s">
        <v>56</v>
      </c>
      <c r="B59" s="76"/>
      <c r="C59" s="1">
        <f>C26+C58</f>
        <v>1111390</v>
      </c>
      <c r="D59" s="1">
        <f>D26+D58</f>
        <v>1111390</v>
      </c>
      <c r="E59" s="1"/>
    </row>
    <row r="61" spans="1:7">
      <c r="B61" s="39"/>
    </row>
    <row r="63" spans="1:7">
      <c r="F63" s="1"/>
    </row>
  </sheetData>
  <mergeCells count="4">
    <mergeCell ref="A58:B58"/>
    <mergeCell ref="A26:B26"/>
    <mergeCell ref="A1:D1"/>
    <mergeCell ref="A59:B59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25" sqref="D25"/>
    </sheetView>
  </sheetViews>
  <sheetFormatPr baseColWidth="10" defaultRowHeight="15"/>
  <cols>
    <col min="1" max="1" width="22.42578125" customWidth="1"/>
    <col min="2" max="2" width="13.85546875" customWidth="1"/>
  </cols>
  <sheetData>
    <row r="1" spans="1:5" ht="15.75">
      <c r="A1" s="83" t="s">
        <v>100</v>
      </c>
      <c r="B1" s="83"/>
      <c r="C1" s="83"/>
      <c r="D1" s="83"/>
      <c r="E1" s="83"/>
    </row>
    <row r="2" spans="1:5">
      <c r="A2" t="s">
        <v>88</v>
      </c>
      <c r="B2" t="s">
        <v>89</v>
      </c>
    </row>
    <row r="3" spans="1:5">
      <c r="A3" t="s">
        <v>90</v>
      </c>
      <c r="B3" s="21">
        <v>5000</v>
      </c>
    </row>
    <row r="4" spans="1:5">
      <c r="A4" t="s">
        <v>91</v>
      </c>
      <c r="B4" s="22" t="s">
        <v>92</v>
      </c>
    </row>
    <row r="5" spans="1:5">
      <c r="A5" t="s">
        <v>96</v>
      </c>
      <c r="B5" s="22" t="s">
        <v>93</v>
      </c>
    </row>
    <row r="6" spans="1:5">
      <c r="A6" t="s">
        <v>95</v>
      </c>
      <c r="B6" s="21">
        <v>200</v>
      </c>
    </row>
    <row r="7" spans="1:5">
      <c r="B7" s="13" t="s">
        <v>94</v>
      </c>
      <c r="C7" s="13" t="s">
        <v>97</v>
      </c>
      <c r="D7" s="13" t="s">
        <v>98</v>
      </c>
      <c r="E7" s="13" t="s">
        <v>99</v>
      </c>
    </row>
    <row r="8" spans="1:5">
      <c r="B8" s="20">
        <v>41547</v>
      </c>
      <c r="C8" s="3">
        <v>360</v>
      </c>
      <c r="D8" s="3">
        <f>C8*19.6%</f>
        <v>70.56</v>
      </c>
      <c r="E8" s="3">
        <f>C8+D8</f>
        <v>430.56</v>
      </c>
    </row>
    <row r="9" spans="1:5">
      <c r="B9" s="20">
        <v>41639</v>
      </c>
      <c r="C9" s="3">
        <v>460</v>
      </c>
      <c r="D9" s="3">
        <f t="shared" ref="D9" si="0">C9*19.6%</f>
        <v>90.16</v>
      </c>
      <c r="E9" s="3">
        <f t="shared" ref="E9:E19" si="1">C9+D9</f>
        <v>550.16</v>
      </c>
    </row>
    <row r="10" spans="1:5">
      <c r="B10" s="20">
        <v>41729</v>
      </c>
      <c r="C10" s="3">
        <v>460</v>
      </c>
      <c r="D10" s="3">
        <f t="shared" ref="D10:D13" si="2">C10*0.2</f>
        <v>92</v>
      </c>
      <c r="E10" s="3">
        <f t="shared" si="1"/>
        <v>552</v>
      </c>
    </row>
    <row r="11" spans="1:5">
      <c r="B11" s="20">
        <v>41820</v>
      </c>
      <c r="C11" s="3">
        <v>460</v>
      </c>
      <c r="D11" s="3">
        <f t="shared" si="2"/>
        <v>92</v>
      </c>
      <c r="E11" s="3">
        <f t="shared" si="1"/>
        <v>552</v>
      </c>
    </row>
    <row r="12" spans="1:5">
      <c r="B12" s="20">
        <v>41912</v>
      </c>
      <c r="C12" s="3">
        <v>460</v>
      </c>
      <c r="D12" s="3">
        <f t="shared" si="2"/>
        <v>92</v>
      </c>
      <c r="E12" s="3">
        <f t="shared" si="1"/>
        <v>552</v>
      </c>
    </row>
    <row r="13" spans="1:5">
      <c r="B13" s="20">
        <v>42004</v>
      </c>
      <c r="C13" s="3">
        <v>460</v>
      </c>
      <c r="D13" s="3">
        <f t="shared" si="2"/>
        <v>92</v>
      </c>
      <c r="E13" s="3">
        <f t="shared" si="1"/>
        <v>552</v>
      </c>
    </row>
    <row r="14" spans="1:5">
      <c r="B14" s="20">
        <v>42094</v>
      </c>
      <c r="C14" s="3">
        <v>460</v>
      </c>
      <c r="D14" s="3">
        <f>C14*0.2</f>
        <v>92</v>
      </c>
      <c r="E14" s="3">
        <f t="shared" si="1"/>
        <v>552</v>
      </c>
    </row>
    <row r="15" spans="1:5">
      <c r="B15" s="20">
        <v>42185</v>
      </c>
      <c r="C15" s="3">
        <v>460</v>
      </c>
      <c r="D15" s="3">
        <f t="shared" ref="D15:D19" si="3">C15*0.2</f>
        <v>92</v>
      </c>
      <c r="E15" s="3">
        <f t="shared" si="1"/>
        <v>552</v>
      </c>
    </row>
    <row r="16" spans="1:5">
      <c r="B16" s="20">
        <v>42277</v>
      </c>
      <c r="C16" s="3">
        <v>460</v>
      </c>
      <c r="D16" s="3">
        <f t="shared" si="3"/>
        <v>92</v>
      </c>
      <c r="E16" s="3">
        <f t="shared" si="1"/>
        <v>552</v>
      </c>
    </row>
    <row r="17" spans="2:5">
      <c r="B17" s="20">
        <v>42369</v>
      </c>
      <c r="C17" s="3">
        <v>460</v>
      </c>
      <c r="D17" s="3">
        <f t="shared" si="3"/>
        <v>92</v>
      </c>
      <c r="E17" s="3">
        <f t="shared" si="1"/>
        <v>552</v>
      </c>
    </row>
    <row r="18" spans="2:5">
      <c r="B18" s="20">
        <v>42460</v>
      </c>
      <c r="C18" s="3">
        <v>460</v>
      </c>
      <c r="D18" s="3">
        <f t="shared" si="3"/>
        <v>92</v>
      </c>
      <c r="E18" s="3">
        <f t="shared" si="1"/>
        <v>552</v>
      </c>
    </row>
    <row r="19" spans="2:5">
      <c r="B19" s="20">
        <v>42551</v>
      </c>
      <c r="C19" s="3">
        <v>460</v>
      </c>
      <c r="D19" s="3">
        <f t="shared" si="3"/>
        <v>92</v>
      </c>
      <c r="E19" s="3">
        <f t="shared" si="1"/>
        <v>552</v>
      </c>
    </row>
    <row r="20" spans="2:5">
      <c r="C20" s="1"/>
    </row>
    <row r="22" spans="2:5">
      <c r="B22" s="29"/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L33" sqref="L33"/>
    </sheetView>
  </sheetViews>
  <sheetFormatPr baseColWidth="10" defaultRowHeight="15"/>
  <cols>
    <col min="4" max="4" width="11.42578125" customWidth="1"/>
    <col min="6" max="6" width="11.85546875" customWidth="1"/>
    <col min="7" max="7" width="19.7109375" customWidth="1"/>
    <col min="8" max="8" width="10.7109375" customWidth="1"/>
    <col min="9" max="9" width="15.28515625" customWidth="1"/>
    <col min="11" max="11" width="24" customWidth="1"/>
    <col min="13" max="13" width="35.42578125" customWidth="1"/>
  </cols>
  <sheetData>
    <row r="1" spans="1:13" ht="18.75">
      <c r="A1" s="75" t="s">
        <v>514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67"/>
    </row>
    <row r="2" spans="1:13">
      <c r="A2" s="19" t="s">
        <v>98</v>
      </c>
      <c r="B2" s="19" t="s">
        <v>94</v>
      </c>
      <c r="C2" s="19" t="s">
        <v>139</v>
      </c>
      <c r="D2" s="19" t="s">
        <v>94</v>
      </c>
      <c r="E2" s="19" t="s">
        <v>30</v>
      </c>
      <c r="F2" s="19" t="s">
        <v>94</v>
      </c>
      <c r="G2" s="19" t="s">
        <v>512</v>
      </c>
      <c r="H2" s="19" t="s">
        <v>94</v>
      </c>
      <c r="I2" s="19" t="s">
        <v>513</v>
      </c>
      <c r="J2" s="19" t="s">
        <v>94</v>
      </c>
      <c r="K2" s="32" t="s">
        <v>575</v>
      </c>
      <c r="L2" s="32" t="s">
        <v>94</v>
      </c>
      <c r="M2" s="16" t="s">
        <v>577</v>
      </c>
    </row>
    <row r="3" spans="1:13" ht="32.25" customHeight="1">
      <c r="A3" s="12" t="s">
        <v>140</v>
      </c>
      <c r="B3" s="70">
        <v>42023</v>
      </c>
      <c r="C3" s="12"/>
      <c r="D3" s="20"/>
      <c r="E3" s="12"/>
      <c r="F3" s="20"/>
      <c r="G3" s="69" t="s">
        <v>580</v>
      </c>
      <c r="H3" s="71" t="s">
        <v>581</v>
      </c>
      <c r="I3" s="69" t="s">
        <v>582</v>
      </c>
      <c r="J3" s="70">
        <v>42034</v>
      </c>
      <c r="K3" s="12" t="s">
        <v>576</v>
      </c>
      <c r="L3" s="20">
        <v>42063</v>
      </c>
      <c r="M3" s="12" t="s">
        <v>578</v>
      </c>
    </row>
    <row r="4" spans="1:13">
      <c r="A4" s="12" t="s">
        <v>141</v>
      </c>
      <c r="B4" s="20">
        <v>42054</v>
      </c>
      <c r="C4" s="12"/>
      <c r="D4" s="20"/>
      <c r="E4" s="12"/>
      <c r="F4" s="20"/>
      <c r="G4" s="12"/>
      <c r="H4" s="20"/>
      <c r="I4" s="12"/>
      <c r="J4" s="20"/>
      <c r="K4" s="12" t="s">
        <v>195</v>
      </c>
      <c r="L4" s="20">
        <v>42063</v>
      </c>
      <c r="M4" s="12" t="s">
        <v>579</v>
      </c>
    </row>
    <row r="5" spans="1:13">
      <c r="A5" s="12" t="s">
        <v>142</v>
      </c>
      <c r="B5" s="20">
        <v>42082</v>
      </c>
      <c r="C5" s="12" t="s">
        <v>152</v>
      </c>
      <c r="D5" s="20">
        <v>42078</v>
      </c>
      <c r="E5" s="12"/>
      <c r="F5" s="20"/>
      <c r="G5" s="12"/>
      <c r="H5" s="20"/>
      <c r="I5" s="12"/>
      <c r="J5" s="20"/>
      <c r="K5" s="12"/>
      <c r="L5" s="12"/>
      <c r="M5" s="12"/>
    </row>
    <row r="6" spans="1:13">
      <c r="A6" s="12" t="s">
        <v>143</v>
      </c>
      <c r="B6" s="20">
        <v>42113</v>
      </c>
      <c r="C6" s="12"/>
      <c r="D6" s="20"/>
      <c r="E6" s="12"/>
      <c r="F6" s="20"/>
      <c r="G6" s="12" t="s">
        <v>159</v>
      </c>
      <c r="H6" s="20">
        <v>42109</v>
      </c>
      <c r="I6" s="12" t="s">
        <v>164</v>
      </c>
      <c r="J6" s="20">
        <v>42124</v>
      </c>
      <c r="K6" s="12"/>
      <c r="L6" s="12"/>
      <c r="M6" s="12"/>
    </row>
    <row r="7" spans="1:13">
      <c r="A7" s="12" t="s">
        <v>144</v>
      </c>
      <c r="B7" s="20">
        <v>42143</v>
      </c>
      <c r="C7" s="12" t="s">
        <v>156</v>
      </c>
      <c r="D7" s="20">
        <v>42139</v>
      </c>
      <c r="E7" s="30" t="s">
        <v>158</v>
      </c>
      <c r="F7" s="20">
        <v>42126</v>
      </c>
      <c r="G7" s="12"/>
      <c r="H7" s="20"/>
      <c r="I7" s="12"/>
      <c r="J7" s="20"/>
      <c r="K7" s="12"/>
      <c r="L7" s="12"/>
      <c r="M7" s="12"/>
    </row>
    <row r="8" spans="1:13">
      <c r="A8" s="12" t="s">
        <v>145</v>
      </c>
      <c r="B8" s="20">
        <v>42174</v>
      </c>
      <c r="C8" s="12" t="s">
        <v>153</v>
      </c>
      <c r="D8" s="20">
        <v>42170</v>
      </c>
      <c r="E8" s="12"/>
      <c r="F8" s="20"/>
      <c r="G8" s="12"/>
      <c r="H8" s="20"/>
      <c r="I8" s="12"/>
      <c r="J8" s="20"/>
      <c r="K8" s="12"/>
      <c r="L8" s="12"/>
      <c r="M8" s="12"/>
    </row>
    <row r="9" spans="1:13">
      <c r="A9" s="12" t="s">
        <v>146</v>
      </c>
      <c r="B9" s="20">
        <v>42204</v>
      </c>
      <c r="C9" s="12"/>
      <c r="D9" s="20"/>
      <c r="E9" s="12"/>
      <c r="F9" s="20"/>
      <c r="G9" s="12" t="s">
        <v>160</v>
      </c>
      <c r="H9" s="20">
        <v>42200</v>
      </c>
      <c r="I9" s="12" t="s">
        <v>165</v>
      </c>
      <c r="J9" s="20">
        <v>42216</v>
      </c>
      <c r="K9" s="12"/>
      <c r="L9" s="12"/>
      <c r="M9" s="12"/>
    </row>
    <row r="10" spans="1:13">
      <c r="A10" s="12" t="s">
        <v>147</v>
      </c>
      <c r="B10" s="20">
        <v>42235</v>
      </c>
      <c r="C10" s="12"/>
      <c r="D10" s="20"/>
      <c r="E10" s="12"/>
      <c r="F10" s="20"/>
      <c r="G10" s="12"/>
      <c r="H10" s="20"/>
      <c r="I10" s="12"/>
      <c r="J10" s="20"/>
      <c r="K10" s="12"/>
      <c r="L10" s="12"/>
      <c r="M10" s="12"/>
    </row>
    <row r="11" spans="1:13">
      <c r="A11" s="12" t="s">
        <v>148</v>
      </c>
      <c r="B11" s="20">
        <v>42266</v>
      </c>
      <c r="C11" s="12" t="s">
        <v>154</v>
      </c>
      <c r="D11" s="20">
        <v>42262</v>
      </c>
      <c r="E11" s="12"/>
      <c r="F11" s="20"/>
      <c r="G11" s="12"/>
      <c r="H11" s="20"/>
      <c r="I11" s="12"/>
      <c r="J11" s="20"/>
      <c r="K11" s="12"/>
      <c r="L11" s="12"/>
      <c r="M11" s="12"/>
    </row>
    <row r="12" spans="1:13">
      <c r="A12" s="12" t="s">
        <v>149</v>
      </c>
      <c r="B12" s="20">
        <v>42296</v>
      </c>
      <c r="C12" s="12"/>
      <c r="D12" s="20"/>
      <c r="E12" s="12"/>
      <c r="F12" s="20"/>
      <c r="G12" s="12" t="s">
        <v>161</v>
      </c>
      <c r="H12" s="20">
        <v>42292</v>
      </c>
      <c r="I12" s="12" t="s">
        <v>166</v>
      </c>
      <c r="J12" s="20">
        <v>42308</v>
      </c>
      <c r="K12" s="12"/>
      <c r="L12" s="12"/>
      <c r="M12" s="12"/>
    </row>
    <row r="13" spans="1:13">
      <c r="A13" s="12" t="s">
        <v>150</v>
      </c>
      <c r="B13" s="20">
        <v>42327</v>
      </c>
      <c r="C13" s="12"/>
      <c r="D13" s="20"/>
      <c r="E13" s="12"/>
      <c r="F13" s="20"/>
      <c r="G13" s="12"/>
      <c r="H13" s="20"/>
      <c r="I13" s="12"/>
      <c r="J13" s="20"/>
      <c r="K13" s="12"/>
      <c r="L13" s="12"/>
      <c r="M13" s="12"/>
    </row>
    <row r="14" spans="1:13">
      <c r="A14" s="12" t="s">
        <v>151</v>
      </c>
      <c r="B14" s="20">
        <v>42357</v>
      </c>
      <c r="C14" s="12" t="s">
        <v>155</v>
      </c>
      <c r="D14" s="20">
        <v>42353</v>
      </c>
      <c r="E14" s="12" t="s">
        <v>157</v>
      </c>
      <c r="F14" s="20">
        <v>42353</v>
      </c>
      <c r="G14" s="12"/>
      <c r="H14" s="20"/>
      <c r="I14" s="12"/>
      <c r="J14" s="20"/>
      <c r="K14" s="12"/>
      <c r="L14" s="12"/>
      <c r="M14" s="12"/>
    </row>
    <row r="15" spans="1:13">
      <c r="A15" s="12"/>
      <c r="B15" s="20"/>
      <c r="C15" s="12"/>
      <c r="D15" s="20"/>
      <c r="E15" s="12"/>
      <c r="F15" s="20"/>
      <c r="G15" s="12" t="s">
        <v>162</v>
      </c>
      <c r="H15" s="20">
        <v>42384</v>
      </c>
      <c r="I15" s="12" t="s">
        <v>167</v>
      </c>
      <c r="J15" s="20">
        <v>42400</v>
      </c>
      <c r="K15" s="12"/>
      <c r="L15" s="12"/>
      <c r="M15" s="12"/>
    </row>
    <row r="16" spans="1:13">
      <c r="A16" s="12"/>
      <c r="B16" s="20"/>
      <c r="C16" s="12"/>
      <c r="D16" s="20"/>
      <c r="E16" s="12"/>
      <c r="F16" s="20"/>
      <c r="G16" s="68" t="s">
        <v>163</v>
      </c>
      <c r="H16" s="20">
        <v>42399</v>
      </c>
      <c r="I16" s="68" t="s">
        <v>163</v>
      </c>
      <c r="J16" s="20">
        <v>42400</v>
      </c>
      <c r="K16" s="12"/>
      <c r="L16" s="12"/>
      <c r="M16" s="12"/>
    </row>
    <row r="17" spans="1:13">
      <c r="A17" s="12"/>
      <c r="B17" s="20"/>
      <c r="C17" s="12"/>
      <c r="D17" s="20"/>
      <c r="E17" s="12"/>
      <c r="F17" s="20"/>
      <c r="G17" s="12"/>
      <c r="H17" s="20"/>
      <c r="I17" s="12"/>
      <c r="J17" s="20"/>
      <c r="K17" s="12"/>
      <c r="L17" s="12"/>
      <c r="M17" s="12"/>
    </row>
    <row r="18" spans="1:13">
      <c r="A18" s="12"/>
      <c r="B18" s="20"/>
      <c r="C18" s="12"/>
      <c r="D18" s="20"/>
      <c r="E18" s="12"/>
      <c r="F18" s="20"/>
      <c r="G18" s="12"/>
      <c r="H18" s="20"/>
      <c r="I18" s="12"/>
      <c r="J18" s="20"/>
      <c r="K18" s="12"/>
      <c r="L18" s="12"/>
      <c r="M18" s="12"/>
    </row>
    <row r="19" spans="1:13">
      <c r="A19" s="12"/>
      <c r="B19" s="20"/>
      <c r="C19" s="12"/>
      <c r="D19" s="20"/>
      <c r="E19" s="12" t="s">
        <v>212</v>
      </c>
      <c r="F19" s="20">
        <v>42490</v>
      </c>
      <c r="G19" s="12"/>
      <c r="H19" s="20"/>
      <c r="I19" s="12"/>
      <c r="J19" s="20"/>
      <c r="K19" s="12"/>
      <c r="L19" s="12"/>
      <c r="M19" s="12"/>
    </row>
    <row r="20" spans="1:13">
      <c r="A20" s="12"/>
      <c r="B20" s="20"/>
      <c r="C20" s="12"/>
      <c r="D20" s="20"/>
      <c r="E20" s="12"/>
      <c r="F20" s="20"/>
      <c r="G20" s="12"/>
      <c r="H20" s="20"/>
      <c r="I20" s="12"/>
      <c r="J20" s="20"/>
      <c r="K20" s="12"/>
      <c r="L20" s="12"/>
      <c r="M20" s="12"/>
    </row>
    <row r="21" spans="1:13">
      <c r="A21" s="12"/>
      <c r="B21" s="20"/>
      <c r="C21" s="12"/>
      <c r="D21" s="20"/>
      <c r="E21" s="12"/>
      <c r="F21" s="20"/>
      <c r="G21" s="12"/>
      <c r="H21" s="20"/>
      <c r="I21" s="12"/>
      <c r="J21" s="20"/>
      <c r="K21" s="12"/>
      <c r="L21" s="12"/>
      <c r="M21" s="12"/>
    </row>
  </sheetData>
  <mergeCells count="1">
    <mergeCell ref="A1:L1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18" sqref="H18"/>
    </sheetView>
  </sheetViews>
  <sheetFormatPr baseColWidth="10" defaultRowHeight="15"/>
  <cols>
    <col min="2" max="2" width="10.140625" customWidth="1"/>
  </cols>
  <sheetData>
    <row r="1" spans="1:6">
      <c r="A1" s="84" t="s">
        <v>168</v>
      </c>
      <c r="B1" s="84"/>
      <c r="C1" s="84"/>
      <c r="D1" s="84"/>
    </row>
    <row r="2" spans="1:6">
      <c r="A2" s="19" t="s">
        <v>174</v>
      </c>
      <c r="B2" s="19" t="s">
        <v>169</v>
      </c>
      <c r="C2" s="19" t="s">
        <v>170</v>
      </c>
      <c r="D2" s="19" t="s">
        <v>171</v>
      </c>
      <c r="E2" s="32" t="s">
        <v>187</v>
      </c>
    </row>
    <row r="3" spans="1:6">
      <c r="A3" s="12" t="s">
        <v>173</v>
      </c>
      <c r="B3" s="12">
        <v>2</v>
      </c>
      <c r="C3" s="12">
        <v>2100</v>
      </c>
      <c r="D3" s="12">
        <f>B3*C3</f>
        <v>4200</v>
      </c>
      <c r="E3" s="12"/>
    </row>
    <row r="4" spans="1:6">
      <c r="A4" s="12" t="s">
        <v>175</v>
      </c>
      <c r="B4" s="12">
        <v>1</v>
      </c>
      <c r="C4" s="12">
        <v>3160</v>
      </c>
      <c r="D4" s="12">
        <f t="shared" ref="D4:D6" si="0">B4*C4</f>
        <v>3160</v>
      </c>
      <c r="E4" s="12">
        <f>D3+D4</f>
        <v>7360</v>
      </c>
      <c r="F4" t="s">
        <v>188</v>
      </c>
    </row>
    <row r="5" spans="1:6">
      <c r="A5" s="12" t="s">
        <v>176</v>
      </c>
      <c r="B5" s="12">
        <v>2</v>
      </c>
      <c r="C5" s="12">
        <v>3300</v>
      </c>
      <c r="D5" s="12">
        <f t="shared" si="0"/>
        <v>6600</v>
      </c>
      <c r="E5" s="12"/>
    </row>
    <row r="6" spans="1:6">
      <c r="A6" s="12" t="s">
        <v>177</v>
      </c>
      <c r="B6" s="12">
        <v>1</v>
      </c>
      <c r="C6" s="12">
        <v>2950</v>
      </c>
      <c r="D6" s="12">
        <f t="shared" si="0"/>
        <v>2950</v>
      </c>
      <c r="E6" s="12">
        <f>D5+D6</f>
        <v>9550</v>
      </c>
      <c r="F6" t="s">
        <v>189</v>
      </c>
    </row>
    <row r="7" spans="1:6">
      <c r="A7" s="31" t="s">
        <v>178</v>
      </c>
      <c r="B7" s="12">
        <f>SUM(B3:B6)</f>
        <v>6</v>
      </c>
      <c r="C7" s="12"/>
      <c r="D7" s="16">
        <f>SUM(D3:D6)</f>
        <v>16910</v>
      </c>
      <c r="E7" s="12"/>
    </row>
    <row r="9" spans="1:6">
      <c r="A9" s="84" t="s">
        <v>172</v>
      </c>
      <c r="B9" s="84"/>
      <c r="C9" s="84"/>
      <c r="D9" s="84"/>
    </row>
    <row r="10" spans="1:6">
      <c r="A10" s="19" t="s">
        <v>174</v>
      </c>
      <c r="B10" s="19" t="s">
        <v>169</v>
      </c>
      <c r="C10" s="19" t="s">
        <v>170</v>
      </c>
      <c r="D10" s="19" t="s">
        <v>171</v>
      </c>
      <c r="E10" s="32" t="s">
        <v>187</v>
      </c>
    </row>
    <row r="11" spans="1:6">
      <c r="A11" s="12" t="s">
        <v>179</v>
      </c>
      <c r="B11" s="12">
        <v>1</v>
      </c>
      <c r="C11" s="12">
        <v>8200</v>
      </c>
      <c r="D11" s="12">
        <f>B11*C11</f>
        <v>8200</v>
      </c>
      <c r="E11" s="12"/>
    </row>
    <row r="12" spans="1:6">
      <c r="A12" s="12" t="s">
        <v>180</v>
      </c>
      <c r="B12" s="12">
        <v>1</v>
      </c>
      <c r="C12" s="12">
        <v>5200</v>
      </c>
      <c r="D12" s="12">
        <f t="shared" ref="D12:D18" si="1">B12*C12</f>
        <v>5200</v>
      </c>
      <c r="E12" s="12">
        <f>D11+D12</f>
        <v>13400</v>
      </c>
      <c r="F12" t="s">
        <v>189</v>
      </c>
    </row>
    <row r="13" spans="1:6">
      <c r="A13" s="12" t="s">
        <v>184</v>
      </c>
      <c r="B13" s="12">
        <v>1</v>
      </c>
      <c r="C13" s="12">
        <v>6200</v>
      </c>
      <c r="D13" s="12">
        <f t="shared" si="1"/>
        <v>6200</v>
      </c>
      <c r="E13" s="12"/>
    </row>
    <row r="14" spans="1:6">
      <c r="A14" s="12" t="s">
        <v>185</v>
      </c>
      <c r="B14" s="12">
        <v>3</v>
      </c>
      <c r="C14" s="12">
        <v>1190</v>
      </c>
      <c r="D14" s="12">
        <f t="shared" si="1"/>
        <v>3570</v>
      </c>
      <c r="E14" s="12">
        <f>D13+D14</f>
        <v>9770</v>
      </c>
      <c r="F14" t="s">
        <v>190</v>
      </c>
    </row>
    <row r="15" spans="1:6">
      <c r="A15" s="12" t="s">
        <v>186</v>
      </c>
      <c r="B15" s="12">
        <v>5</v>
      </c>
      <c r="C15" s="12">
        <f>350*0.9</f>
        <v>315</v>
      </c>
      <c r="D15" s="12">
        <f t="shared" si="1"/>
        <v>1575</v>
      </c>
      <c r="E15" s="12"/>
    </row>
    <row r="16" spans="1:6">
      <c r="A16" s="12" t="s">
        <v>181</v>
      </c>
      <c r="B16" s="12">
        <v>5</v>
      </c>
      <c r="C16" s="12">
        <f>250*0.9</f>
        <v>225</v>
      </c>
      <c r="D16" s="12">
        <f t="shared" si="1"/>
        <v>1125</v>
      </c>
      <c r="E16" s="12"/>
    </row>
    <row r="17" spans="1:6">
      <c r="A17" s="12" t="s">
        <v>182</v>
      </c>
      <c r="B17" s="12">
        <v>5</v>
      </c>
      <c r="C17" s="12">
        <f>230*0.9</f>
        <v>207</v>
      </c>
      <c r="D17" s="12">
        <f t="shared" si="1"/>
        <v>1035</v>
      </c>
      <c r="E17" s="12"/>
    </row>
    <row r="18" spans="1:6">
      <c r="A18" s="12" t="s">
        <v>183</v>
      </c>
      <c r="B18" s="12">
        <v>2</v>
      </c>
      <c r="C18" s="12">
        <f>1430*0.9</f>
        <v>1287</v>
      </c>
      <c r="D18" s="12">
        <f t="shared" si="1"/>
        <v>2574</v>
      </c>
      <c r="E18" s="12">
        <f>SUM(D15:D18)</f>
        <v>6309</v>
      </c>
      <c r="F18" t="s">
        <v>188</v>
      </c>
    </row>
    <row r="19" spans="1:6">
      <c r="A19" s="31" t="s">
        <v>178</v>
      </c>
      <c r="B19" s="12">
        <f>SUM(B11:B18)</f>
        <v>23</v>
      </c>
      <c r="C19" s="12"/>
      <c r="D19" s="16">
        <f>SUM(D11:D18)</f>
        <v>29479</v>
      </c>
      <c r="E19" s="12">
        <f>SUM(E11:E18)</f>
        <v>29479</v>
      </c>
    </row>
  </sheetData>
  <mergeCells count="2">
    <mergeCell ref="A1:D1"/>
    <mergeCell ref="A9:D9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I19" sqref="I19"/>
    </sheetView>
  </sheetViews>
  <sheetFormatPr baseColWidth="10" defaultRowHeight="15"/>
  <cols>
    <col min="1" max="1" width="25.42578125" customWidth="1"/>
    <col min="2" max="2" width="19.7109375" customWidth="1"/>
    <col min="3" max="3" width="5" customWidth="1"/>
    <col min="4" max="4" width="25.140625" customWidth="1"/>
    <col min="5" max="5" width="19.28515625" customWidth="1"/>
    <col min="6" max="6" width="12.85546875" bestFit="1" customWidth="1"/>
    <col min="7" max="7" width="13.85546875" customWidth="1"/>
    <col min="8" max="8" width="18.85546875" customWidth="1"/>
  </cols>
  <sheetData>
    <row r="1" spans="1:8" ht="18.75">
      <c r="A1" s="35" t="s">
        <v>193</v>
      </c>
      <c r="B1" s="35" t="s">
        <v>168</v>
      </c>
      <c r="C1" s="35"/>
      <c r="D1" s="35" t="s">
        <v>197</v>
      </c>
      <c r="E1" s="35" t="s">
        <v>172</v>
      </c>
    </row>
    <row r="2" spans="1:8">
      <c r="A2" s="12" t="s">
        <v>192</v>
      </c>
      <c r="B2" s="3">
        <v>7000</v>
      </c>
      <c r="C2" s="1"/>
      <c r="D2" s="41" t="s">
        <v>202</v>
      </c>
      <c r="E2" s="37">
        <f>14920*7/10</f>
        <v>10444</v>
      </c>
    </row>
    <row r="3" spans="1:8">
      <c r="A3" s="12" t="s">
        <v>191</v>
      </c>
      <c r="B3" s="3">
        <v>2800</v>
      </c>
      <c r="C3" s="1"/>
      <c r="D3" s="41" t="s">
        <v>204</v>
      </c>
      <c r="E3" s="37">
        <f>ROUND(E2*0.38,0)</f>
        <v>3969</v>
      </c>
    </row>
    <row r="4" spans="1:8">
      <c r="A4" s="12"/>
      <c r="B4" s="12"/>
      <c r="D4" s="12"/>
      <c r="E4" s="37"/>
    </row>
    <row r="5" spans="1:8">
      <c r="A5" s="12" t="s">
        <v>194</v>
      </c>
      <c r="B5" s="12"/>
      <c r="D5" s="41" t="s">
        <v>198</v>
      </c>
      <c r="E5" s="37">
        <f>ROUND(204730*0.68%,0)</f>
        <v>1392</v>
      </c>
    </row>
    <row r="6" spans="1:8">
      <c r="A6" s="12" t="s">
        <v>195</v>
      </c>
      <c r="B6" s="12"/>
      <c r="D6" s="41" t="s">
        <v>199</v>
      </c>
      <c r="E6" s="37">
        <f>ROUND(204730*0.55%,0)</f>
        <v>1126</v>
      </c>
    </row>
    <row r="7" spans="1:8">
      <c r="A7" s="12" t="s">
        <v>200</v>
      </c>
      <c r="B7" s="12"/>
      <c r="D7" s="12" t="s">
        <v>201</v>
      </c>
      <c r="E7" s="37">
        <v>0</v>
      </c>
    </row>
    <row r="8" spans="1:8">
      <c r="A8" s="12" t="s">
        <v>211</v>
      </c>
      <c r="B8" s="12"/>
      <c r="D8" s="12" t="s">
        <v>213</v>
      </c>
      <c r="E8" s="37">
        <v>1250</v>
      </c>
    </row>
    <row r="9" spans="1:8">
      <c r="A9" s="12" t="s">
        <v>223</v>
      </c>
      <c r="B9" s="12"/>
      <c r="D9" s="12" t="s">
        <v>230</v>
      </c>
      <c r="E9" s="37">
        <f>H18</f>
        <v>13283.85</v>
      </c>
    </row>
    <row r="10" spans="1:8" ht="16.5" customHeight="1">
      <c r="D10" s="12"/>
      <c r="E10" s="43">
        <f>SUM(E2:E9)</f>
        <v>31464.85</v>
      </c>
    </row>
    <row r="11" spans="1:8" ht="16.5" customHeight="1">
      <c r="E11" s="40"/>
    </row>
    <row r="12" spans="1:8" ht="16.5" customHeight="1">
      <c r="E12" s="40"/>
    </row>
    <row r="13" spans="1:8">
      <c r="D13" t="s">
        <v>231</v>
      </c>
    </row>
    <row r="14" spans="1:8">
      <c r="D14" s="16" t="s">
        <v>225</v>
      </c>
      <c r="E14" s="19" t="s">
        <v>99</v>
      </c>
      <c r="F14" s="19" t="s">
        <v>97</v>
      </c>
      <c r="G14" s="16" t="s">
        <v>224</v>
      </c>
      <c r="H14" s="16" t="s">
        <v>229</v>
      </c>
    </row>
    <row r="15" spans="1:8">
      <c r="D15" s="41" t="s">
        <v>226</v>
      </c>
      <c r="E15" s="37">
        <v>178003.92</v>
      </c>
      <c r="F15" s="37">
        <f>E15/1.2</f>
        <v>148336.6</v>
      </c>
      <c r="G15" s="42">
        <v>0.03</v>
      </c>
      <c r="H15" s="37">
        <f>ROUND(F15*G15,2)</f>
        <v>4450.1000000000004</v>
      </c>
    </row>
    <row r="16" spans="1:8">
      <c r="D16" s="41" t="s">
        <v>228</v>
      </c>
      <c r="E16" s="37">
        <v>126762.18</v>
      </c>
      <c r="F16" s="37">
        <f t="shared" ref="F16:F17" si="0">E16/1.2</f>
        <v>105635.15</v>
      </c>
      <c r="G16" s="42">
        <v>0.05</v>
      </c>
      <c r="H16" s="37">
        <f t="shared" ref="H16:H17" si="1">ROUND(F16*G16,2)</f>
        <v>5281.76</v>
      </c>
    </row>
    <row r="17" spans="4:8">
      <c r="D17" s="41" t="s">
        <v>227</v>
      </c>
      <c r="E17" s="37">
        <v>85247.71</v>
      </c>
      <c r="F17" s="37">
        <f t="shared" si="0"/>
        <v>71039.758333333346</v>
      </c>
      <c r="G17" s="42">
        <v>0.05</v>
      </c>
      <c r="H17" s="37">
        <f t="shared" si="1"/>
        <v>3551.99</v>
      </c>
    </row>
    <row r="18" spans="4:8">
      <c r="D18" s="12"/>
      <c r="E18" s="37">
        <f>SUM(E15:E17)</f>
        <v>390013.81</v>
      </c>
      <c r="F18" s="37">
        <f>SUM(F15:F17)</f>
        <v>325011.50833333336</v>
      </c>
      <c r="G18" s="12"/>
      <c r="H18" s="37">
        <f>SUM(H15:H17)</f>
        <v>13283.85</v>
      </c>
    </row>
    <row r="19" spans="4:8">
      <c r="G19" s="12" t="s">
        <v>232</v>
      </c>
      <c r="H19" s="44">
        <f>H18*0.2</f>
        <v>2656.7700000000004</v>
      </c>
    </row>
    <row r="20" spans="4:8">
      <c r="G20" s="12" t="s">
        <v>99</v>
      </c>
      <c r="H20" s="44">
        <f>H18+H19</f>
        <v>15940.62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G21" sqref="G21"/>
    </sheetView>
  </sheetViews>
  <sheetFormatPr baseColWidth="10" defaultRowHeight="15"/>
  <cols>
    <col min="1" max="1" width="24.42578125" customWidth="1"/>
    <col min="2" max="2" width="9.5703125" customWidth="1"/>
    <col min="3" max="3" width="10" customWidth="1"/>
    <col min="4" max="4" width="10.85546875" customWidth="1"/>
    <col min="5" max="5" width="7.7109375" customWidth="1"/>
    <col min="6" max="6" width="9.5703125" customWidth="1"/>
    <col min="7" max="7" width="10.28515625" customWidth="1"/>
    <col min="9" max="9" width="17.7109375" customWidth="1"/>
    <col min="10" max="10" width="7" customWidth="1"/>
    <col min="11" max="11" width="13.28515625" customWidth="1"/>
    <col min="12" max="12" width="10.42578125" customWidth="1"/>
    <col min="13" max="13" width="10.5703125" customWidth="1"/>
    <col min="14" max="14" width="15.7109375" customWidth="1"/>
    <col min="15" max="15" width="18.7109375" customWidth="1"/>
    <col min="16" max="16" width="7.140625" customWidth="1"/>
    <col min="17" max="17" width="10.5703125" customWidth="1"/>
    <col min="18" max="18" width="14.42578125" customWidth="1"/>
    <col min="19" max="19" width="14.5703125" customWidth="1"/>
  </cols>
  <sheetData>
    <row r="1" spans="1:19">
      <c r="A1" s="15" t="s">
        <v>203</v>
      </c>
      <c r="I1" s="85" t="s">
        <v>126</v>
      </c>
      <c r="J1" s="85"/>
      <c r="K1" s="85"/>
      <c r="L1" s="85"/>
      <c r="M1" s="85"/>
      <c r="N1" s="22"/>
      <c r="O1" s="85" t="s">
        <v>127</v>
      </c>
      <c r="P1" s="85"/>
      <c r="Q1" s="85"/>
      <c r="R1" s="85"/>
      <c r="S1" s="85"/>
    </row>
    <row r="2" spans="1:19">
      <c r="A2" s="12" t="s">
        <v>125</v>
      </c>
      <c r="B2" s="13" t="s">
        <v>113</v>
      </c>
      <c r="C2" s="13" t="s">
        <v>115</v>
      </c>
      <c r="D2" s="13" t="s">
        <v>116</v>
      </c>
      <c r="E2" s="13" t="s">
        <v>114</v>
      </c>
      <c r="F2" s="13" t="s">
        <v>117</v>
      </c>
      <c r="G2" s="13" t="s">
        <v>118</v>
      </c>
      <c r="I2" t="s">
        <v>128</v>
      </c>
      <c r="J2" t="s">
        <v>133</v>
      </c>
      <c r="K2" t="s">
        <v>129</v>
      </c>
      <c r="L2" t="s">
        <v>131</v>
      </c>
      <c r="M2" t="s">
        <v>132</v>
      </c>
      <c r="N2" t="s">
        <v>136</v>
      </c>
      <c r="O2" t="s">
        <v>128</v>
      </c>
      <c r="P2" t="s">
        <v>133</v>
      </c>
      <c r="Q2" t="s">
        <v>135</v>
      </c>
      <c r="R2" t="s">
        <v>130</v>
      </c>
      <c r="S2" t="s">
        <v>134</v>
      </c>
    </row>
    <row r="3" spans="1:19">
      <c r="A3" s="27" t="s">
        <v>119</v>
      </c>
      <c r="B3" s="12">
        <v>3600</v>
      </c>
      <c r="C3" s="12">
        <v>640</v>
      </c>
      <c r="D3" s="12">
        <f>B3-E3-C3</f>
        <v>160</v>
      </c>
      <c r="E3" s="12">
        <v>2800</v>
      </c>
      <c r="F3" s="12">
        <v>1140</v>
      </c>
      <c r="G3" s="12">
        <v>300</v>
      </c>
      <c r="I3" s="23">
        <f>(0.75+0.1+(8*0.97)+2.4)/100</f>
        <v>0.1101</v>
      </c>
      <c r="J3" s="23">
        <f>6.75%</f>
        <v>6.7500000000000004E-2</v>
      </c>
      <c r="K3" s="24">
        <f>0.024%</f>
        <v>2.4000000000000001E-4</v>
      </c>
      <c r="L3" s="24">
        <f>(3+0.8)/100</f>
        <v>3.7999999999999999E-2</v>
      </c>
      <c r="M3" s="24">
        <f>7.7%+0.9%</f>
        <v>8.5999999999999993E-2</v>
      </c>
      <c r="N3" s="24"/>
      <c r="O3" s="23">
        <f>(12.8+0.3+5.4+1.6+4+0.3)/100</f>
        <v>0.24400000000000002</v>
      </c>
      <c r="P3" s="23">
        <f>(8.4+0.1)/100</f>
        <v>8.5000000000000006E-2</v>
      </c>
      <c r="Q3" s="24">
        <v>3.6000000000000002E-4</v>
      </c>
      <c r="R3" s="24">
        <f>(4.5+1.2+1.5)/100</f>
        <v>7.2000000000000008E-2</v>
      </c>
      <c r="S3" s="25">
        <f>12.6%+1.3%</f>
        <v>0.13900000000000001</v>
      </c>
    </row>
    <row r="4" spans="1:19">
      <c r="A4" s="12" t="s">
        <v>120</v>
      </c>
      <c r="B4" s="12">
        <v>2550</v>
      </c>
      <c r="C4" s="12">
        <f>B4-E4-D4</f>
        <v>405</v>
      </c>
      <c r="D4" s="12">
        <v>145</v>
      </c>
      <c r="E4" s="12">
        <v>2000</v>
      </c>
      <c r="F4" s="12">
        <v>840</v>
      </c>
      <c r="G4" s="12">
        <v>145</v>
      </c>
    </row>
    <row r="5" spans="1:19">
      <c r="A5" s="28" t="s">
        <v>121</v>
      </c>
      <c r="B5" s="12">
        <v>2800</v>
      </c>
      <c r="C5" s="12">
        <f t="shared" ref="C5:C8" si="0">B5-E5-D5</f>
        <v>440</v>
      </c>
      <c r="D5" s="12">
        <v>160</v>
      </c>
      <c r="E5" s="12">
        <v>2200</v>
      </c>
      <c r="F5" s="12">
        <v>920</v>
      </c>
      <c r="G5" s="12">
        <v>160</v>
      </c>
    </row>
    <row r="6" spans="1:19">
      <c r="A6" s="12" t="s">
        <v>122</v>
      </c>
      <c r="B6" s="12">
        <v>1900</v>
      </c>
      <c r="C6" s="12">
        <f t="shared" si="0"/>
        <v>290</v>
      </c>
      <c r="D6" s="12">
        <v>110</v>
      </c>
      <c r="E6" s="12">
        <v>1500</v>
      </c>
      <c r="F6" s="12">
        <v>620</v>
      </c>
      <c r="G6" s="12">
        <v>110</v>
      </c>
      <c r="I6" s="23">
        <f>(0.75+0.1+(8*0.97)+6.75+2.4)/100</f>
        <v>0.17759999999999998</v>
      </c>
      <c r="J6" s="23"/>
      <c r="K6" s="23"/>
      <c r="L6" s="23">
        <f>(3+0.8)/100</f>
        <v>3.7999999999999999E-2</v>
      </c>
      <c r="M6" s="23"/>
      <c r="N6" s="23"/>
      <c r="O6" s="23">
        <f>(12.8+0.3+5.4+1.6+8.4+0.1+4+0.3)/100</f>
        <v>0.32899999999999996</v>
      </c>
      <c r="P6" s="23"/>
      <c r="Q6" s="23"/>
      <c r="R6" s="23">
        <f>(4.5+1.2)/100</f>
        <v>5.7000000000000002E-2</v>
      </c>
    </row>
    <row r="7" spans="1:19">
      <c r="A7" s="12" t="s">
        <v>123</v>
      </c>
      <c r="B7" s="12">
        <v>2170</v>
      </c>
      <c r="C7" s="12">
        <f t="shared" si="0"/>
        <v>345</v>
      </c>
      <c r="D7" s="12">
        <v>125</v>
      </c>
      <c r="E7" s="12">
        <v>1700</v>
      </c>
      <c r="F7" s="12">
        <v>710</v>
      </c>
      <c r="G7" s="12">
        <v>120</v>
      </c>
    </row>
    <row r="8" spans="1:19">
      <c r="A8" s="12" t="s">
        <v>124</v>
      </c>
      <c r="B8" s="12">
        <v>1900</v>
      </c>
      <c r="C8" s="12">
        <f t="shared" si="0"/>
        <v>290</v>
      </c>
      <c r="D8" s="12">
        <v>110</v>
      </c>
      <c r="E8" s="12">
        <v>1500</v>
      </c>
      <c r="F8" s="12">
        <v>620</v>
      </c>
      <c r="G8" s="12">
        <v>110</v>
      </c>
    </row>
    <row r="9" spans="1:19">
      <c r="A9" s="16" t="s">
        <v>137</v>
      </c>
      <c r="B9" s="16">
        <f>SUM(B3:B8)</f>
        <v>14920</v>
      </c>
      <c r="C9" s="16">
        <f t="shared" ref="C9:G9" si="1">SUM(C3:C8)</f>
        <v>2410</v>
      </c>
      <c r="D9" s="16">
        <f t="shared" si="1"/>
        <v>810</v>
      </c>
      <c r="E9" s="16">
        <f t="shared" si="1"/>
        <v>11700</v>
      </c>
      <c r="F9" s="16">
        <f t="shared" si="1"/>
        <v>4850</v>
      </c>
      <c r="G9" s="16">
        <f t="shared" si="1"/>
        <v>945</v>
      </c>
    </row>
    <row r="10" spans="1:19">
      <c r="A10" t="s">
        <v>138</v>
      </c>
    </row>
    <row r="12" spans="1:19">
      <c r="A12" s="26" t="s">
        <v>196</v>
      </c>
    </row>
    <row r="13" spans="1:19">
      <c r="C13">
        <f>+C9/$B$9</f>
        <v>0.16152815013404825</v>
      </c>
      <c r="D13">
        <f>+D9/$B$9</f>
        <v>5.4289544235924934E-2</v>
      </c>
      <c r="F13">
        <f t="shared" ref="F13:G13" si="2">+F9/$B$9</f>
        <v>0.32506702412868632</v>
      </c>
      <c r="G13">
        <f t="shared" si="2"/>
        <v>6.3337801608579089E-2</v>
      </c>
    </row>
    <row r="14" spans="1:19">
      <c r="C14">
        <f>19420*C13</f>
        <v>3136.8766756032169</v>
      </c>
      <c r="D14">
        <f>19420*D13</f>
        <v>1054.3029490616623</v>
      </c>
      <c r="F14">
        <f>19420*F13</f>
        <v>6312.8016085790887</v>
      </c>
      <c r="G14">
        <f>19420*G13</f>
        <v>1230.020107238606</v>
      </c>
    </row>
  </sheetData>
  <mergeCells count="2">
    <mergeCell ref="I1:M1"/>
    <mergeCell ref="O1:S1"/>
  </mergeCells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13" sqref="C13"/>
    </sheetView>
  </sheetViews>
  <sheetFormatPr baseColWidth="10" defaultRowHeight="15"/>
  <cols>
    <col min="1" max="1" width="41.140625" customWidth="1"/>
    <col min="2" max="2" width="14.140625" customWidth="1"/>
    <col min="3" max="3" width="14.28515625" customWidth="1"/>
    <col min="7" max="7" width="20.42578125" customWidth="1"/>
  </cols>
  <sheetData>
    <row r="1" spans="1:9">
      <c r="A1" s="84" t="s">
        <v>168</v>
      </c>
      <c r="B1" s="84"/>
      <c r="C1" s="84"/>
    </row>
    <row r="2" spans="1:9">
      <c r="A2" s="12"/>
      <c r="B2" s="12" t="s">
        <v>207</v>
      </c>
      <c r="C2" s="12" t="s">
        <v>206</v>
      </c>
    </row>
    <row r="3" spans="1:9">
      <c r="A3" s="12" t="s">
        <v>215</v>
      </c>
      <c r="B3" s="37"/>
      <c r="C3" s="37">
        <v>40775</v>
      </c>
    </row>
    <row r="4" spans="1:9">
      <c r="A4" s="12" t="s">
        <v>206</v>
      </c>
      <c r="B4" s="37"/>
      <c r="C4" s="37"/>
    </row>
    <row r="5" spans="1:9">
      <c r="A5" s="12" t="s">
        <v>216</v>
      </c>
      <c r="B5" s="37"/>
      <c r="C5" s="37">
        <f>H9</f>
        <v>16050</v>
      </c>
    </row>
    <row r="6" spans="1:9">
      <c r="A6" s="12" t="s">
        <v>221</v>
      </c>
      <c r="B6" s="37"/>
      <c r="C6" s="37">
        <v>12171</v>
      </c>
      <c r="G6" s="85" t="s">
        <v>218</v>
      </c>
      <c r="H6" s="85"/>
    </row>
    <row r="7" spans="1:9">
      <c r="A7" s="12" t="s">
        <v>217</v>
      </c>
      <c r="B7" s="38"/>
      <c r="C7" s="38">
        <v>120</v>
      </c>
      <c r="G7" s="34" t="s">
        <v>219</v>
      </c>
      <c r="H7">
        <f>38120*0.15</f>
        <v>5718</v>
      </c>
    </row>
    <row r="8" spans="1:9">
      <c r="A8" s="36" t="s">
        <v>210</v>
      </c>
      <c r="B8" s="88">
        <f>SUM(C3:C7)-SUM(B3:B7)</f>
        <v>69116</v>
      </c>
      <c r="C8" s="89"/>
      <c r="G8" s="34" t="s">
        <v>222</v>
      </c>
      <c r="H8">
        <f>(69116-38120)/3</f>
        <v>10332</v>
      </c>
    </row>
    <row r="9" spans="1:9">
      <c r="B9" s="1"/>
      <c r="C9" s="1"/>
      <c r="G9" s="33" t="s">
        <v>220</v>
      </c>
      <c r="H9">
        <f>SUM(H7:H8)</f>
        <v>16050</v>
      </c>
      <c r="I9" s="33"/>
    </row>
    <row r="11" spans="1:9" ht="15.75">
      <c r="A11" s="86" t="s">
        <v>172</v>
      </c>
      <c r="B11" s="86"/>
      <c r="C11" s="86"/>
    </row>
    <row r="12" spans="1:9">
      <c r="A12" s="12" t="s">
        <v>205</v>
      </c>
      <c r="B12" s="12" t="s">
        <v>207</v>
      </c>
      <c r="C12" s="12" t="s">
        <v>206</v>
      </c>
    </row>
    <row r="13" spans="1:9">
      <c r="A13" s="12" t="s">
        <v>208</v>
      </c>
      <c r="B13" s="3"/>
      <c r="C13" s="3">
        <f>171965.87-Inventaire!E10-39967+H19</f>
        <v>109518.01999999999</v>
      </c>
    </row>
    <row r="14" spans="1:9">
      <c r="A14" s="12" t="s">
        <v>209</v>
      </c>
      <c r="B14" s="3"/>
      <c r="C14" s="3">
        <v>135</v>
      </c>
      <c r="G14" s="85" t="s">
        <v>218</v>
      </c>
      <c r="H14" s="85"/>
    </row>
    <row r="15" spans="1:9">
      <c r="A15" s="12" t="s">
        <v>583</v>
      </c>
      <c r="B15" s="3"/>
      <c r="C15" s="3">
        <v>230</v>
      </c>
      <c r="G15" s="34" t="s">
        <v>219</v>
      </c>
      <c r="H15">
        <f>38120*0.15</f>
        <v>5718</v>
      </c>
    </row>
    <row r="16" spans="1:9">
      <c r="A16" s="12" t="s">
        <v>214</v>
      </c>
      <c r="B16" s="3"/>
      <c r="C16" s="3">
        <f>H17</f>
        <v>39967</v>
      </c>
      <c r="G16" s="34" t="s">
        <v>584</v>
      </c>
      <c r="H16">
        <f>ROUND((140866.03-38120)/3,0)</f>
        <v>34249</v>
      </c>
    </row>
    <row r="17" spans="1:8">
      <c r="A17" s="12" t="s">
        <v>585</v>
      </c>
      <c r="B17" s="3"/>
      <c r="C17" s="3">
        <v>-8984</v>
      </c>
      <c r="G17" s="33" t="s">
        <v>587</v>
      </c>
      <c r="H17">
        <f>SUM(H15:H16)</f>
        <v>39967</v>
      </c>
    </row>
    <row r="18" spans="1:8">
      <c r="A18" s="36" t="s">
        <v>210</v>
      </c>
      <c r="B18" s="87">
        <f>SUM(C13:C17)-SUM(B13:B17)</f>
        <v>140866.01999999999</v>
      </c>
      <c r="C18" s="87"/>
    </row>
    <row r="19" spans="1:8">
      <c r="B19" s="1"/>
      <c r="C19" s="1"/>
      <c r="G19" t="s">
        <v>586</v>
      </c>
      <c r="H19">
        <f>ROUND(149730*6%,0)</f>
        <v>8984</v>
      </c>
    </row>
    <row r="20" spans="1:8">
      <c r="B20" s="1"/>
      <c r="C20" s="1"/>
    </row>
    <row r="21" spans="1:8">
      <c r="B21" s="1"/>
      <c r="C21" s="1"/>
      <c r="G21" s="72"/>
    </row>
    <row r="22" spans="1:8">
      <c r="B22" s="1"/>
      <c r="C22" s="1"/>
    </row>
    <row r="23" spans="1:8">
      <c r="B23" s="1"/>
      <c r="C23" s="1"/>
      <c r="G23" s="1"/>
    </row>
  </sheetData>
  <mergeCells count="6">
    <mergeCell ref="A1:C1"/>
    <mergeCell ref="G14:H14"/>
    <mergeCell ref="A11:C11"/>
    <mergeCell ref="B18:C18"/>
    <mergeCell ref="B8:C8"/>
    <mergeCell ref="G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selection activeCell="D7" sqref="D7"/>
    </sheetView>
  </sheetViews>
  <sheetFormatPr baseColWidth="10" defaultRowHeight="15"/>
  <cols>
    <col min="1" max="1" width="18.42578125" customWidth="1"/>
    <col min="2" max="2" width="33" customWidth="1"/>
    <col min="3" max="3" width="13.85546875" customWidth="1"/>
    <col min="4" max="4" width="13" customWidth="1"/>
    <col min="5" max="5" width="11.85546875" customWidth="1"/>
    <col min="6" max="6" width="16.7109375" customWidth="1"/>
    <col min="7" max="7" width="17" customWidth="1"/>
    <col min="8" max="8" width="14.7109375" customWidth="1"/>
    <col min="9" max="10" width="29.28515625" customWidth="1"/>
  </cols>
  <sheetData>
    <row r="1" spans="1:7" ht="18.75">
      <c r="A1" s="77" t="s">
        <v>511</v>
      </c>
      <c r="B1" s="77"/>
      <c r="C1" s="77"/>
      <c r="D1" s="77"/>
      <c r="E1" s="77"/>
      <c r="F1" s="77"/>
      <c r="G1" s="77"/>
    </row>
    <row r="2" spans="1:7">
      <c r="A2" s="15" t="s">
        <v>237</v>
      </c>
    </row>
    <row r="3" spans="1:7">
      <c r="A3" s="45" t="s">
        <v>238</v>
      </c>
      <c r="B3" s="48" t="s">
        <v>241</v>
      </c>
      <c r="C3" s="49"/>
      <c r="D3" s="15"/>
      <c r="E3" s="15"/>
    </row>
    <row r="4" spans="1:7">
      <c r="A4" s="46" t="s">
        <v>239</v>
      </c>
      <c r="B4" s="48" t="s">
        <v>244</v>
      </c>
      <c r="C4" s="48" t="s">
        <v>245</v>
      </c>
    </row>
    <row r="5" spans="1:7">
      <c r="A5" s="47"/>
      <c r="B5" s="49" t="s">
        <v>243</v>
      </c>
      <c r="C5" s="49" t="s">
        <v>249</v>
      </c>
    </row>
    <row r="6" spans="1:7">
      <c r="A6" s="47"/>
      <c r="B6" s="49" t="s">
        <v>246</v>
      </c>
      <c r="C6" s="49" t="s">
        <v>250</v>
      </c>
    </row>
    <row r="7" spans="1:7">
      <c r="A7" s="47"/>
      <c r="B7" s="49" t="s">
        <v>247</v>
      </c>
      <c r="C7" s="49" t="s">
        <v>248</v>
      </c>
    </row>
    <row r="8" spans="1:7">
      <c r="A8" s="47"/>
      <c r="B8" s="49" t="s">
        <v>251</v>
      </c>
      <c r="C8" s="49" t="s">
        <v>252</v>
      </c>
    </row>
    <row r="9" spans="1:7">
      <c r="A9" s="47" t="s">
        <v>240</v>
      </c>
    </row>
    <row r="10" spans="1:7">
      <c r="A10" s="47"/>
      <c r="B10" s="50" t="s">
        <v>253</v>
      </c>
      <c r="C10" s="50" t="s">
        <v>267</v>
      </c>
    </row>
    <row r="11" spans="1:7">
      <c r="A11" s="47"/>
      <c r="B11" s="50" t="s">
        <v>254</v>
      </c>
      <c r="C11" s="50" t="s">
        <v>268</v>
      </c>
    </row>
    <row r="12" spans="1:7">
      <c r="A12" s="47"/>
      <c r="B12" s="50" t="s">
        <v>255</v>
      </c>
      <c r="C12" s="50" t="s">
        <v>269</v>
      </c>
    </row>
    <row r="13" spans="1:7">
      <c r="A13" s="47"/>
      <c r="B13" s="50" t="s">
        <v>256</v>
      </c>
      <c r="C13" s="50" t="s">
        <v>270</v>
      </c>
    </row>
    <row r="14" spans="1:7">
      <c r="A14" s="47"/>
      <c r="B14" s="50" t="s">
        <v>257</v>
      </c>
      <c r="C14" s="50" t="s">
        <v>271</v>
      </c>
    </row>
    <row r="15" spans="1:7">
      <c r="A15" s="47"/>
      <c r="B15" s="50" t="s">
        <v>258</v>
      </c>
      <c r="C15" s="50" t="s">
        <v>272</v>
      </c>
    </row>
    <row r="16" spans="1:7">
      <c r="A16" s="47"/>
      <c r="B16" s="50" t="s">
        <v>259</v>
      </c>
      <c r="C16" s="50" t="s">
        <v>273</v>
      </c>
    </row>
    <row r="17" spans="1:7">
      <c r="A17" s="47"/>
      <c r="B17" s="50" t="s">
        <v>260</v>
      </c>
      <c r="C17" s="50" t="s">
        <v>274</v>
      </c>
    </row>
    <row r="18" spans="1:7">
      <c r="A18" s="47"/>
      <c r="B18" s="50" t="s">
        <v>261</v>
      </c>
      <c r="C18" s="50" t="s">
        <v>275</v>
      </c>
    </row>
    <row r="19" spans="1:7">
      <c r="A19" s="47"/>
      <c r="B19" s="50" t="s">
        <v>262</v>
      </c>
      <c r="C19" s="50" t="s">
        <v>276</v>
      </c>
    </row>
    <row r="20" spans="1:7">
      <c r="A20" s="47" t="s">
        <v>242</v>
      </c>
    </row>
    <row r="21" spans="1:7">
      <c r="A21" s="47"/>
      <c r="B21" s="51" t="s">
        <v>263</v>
      </c>
      <c r="C21" s="51" t="s">
        <v>265</v>
      </c>
    </row>
    <row r="22" spans="1:7">
      <c r="A22" s="47"/>
      <c r="B22" s="51" t="s">
        <v>264</v>
      </c>
      <c r="C22" s="51" t="s">
        <v>266</v>
      </c>
    </row>
    <row r="24" spans="1:7">
      <c r="A24" s="15" t="s">
        <v>67</v>
      </c>
    </row>
    <row r="25" spans="1:7">
      <c r="A25" s="52" t="s">
        <v>62</v>
      </c>
      <c r="B25" s="52" t="s">
        <v>68</v>
      </c>
      <c r="C25" s="52" t="s">
        <v>234</v>
      </c>
      <c r="D25" s="52" t="s">
        <v>69</v>
      </c>
      <c r="E25" s="52" t="s">
        <v>70</v>
      </c>
      <c r="F25" s="52" t="s">
        <v>102</v>
      </c>
      <c r="G25" s="52" t="s">
        <v>236</v>
      </c>
    </row>
    <row r="26" spans="1:7">
      <c r="A26" s="53" t="s">
        <v>103</v>
      </c>
      <c r="B26" s="53" t="s">
        <v>75</v>
      </c>
      <c r="C26" s="53" t="s">
        <v>235</v>
      </c>
      <c r="D26" s="53">
        <v>607100</v>
      </c>
      <c r="E26" s="53">
        <v>707100</v>
      </c>
      <c r="F26" s="53">
        <v>371010</v>
      </c>
      <c r="G26" s="53">
        <v>603700</v>
      </c>
    </row>
    <row r="27" spans="1:7">
      <c r="A27" s="53" t="s">
        <v>104</v>
      </c>
      <c r="B27" s="53" t="s">
        <v>76</v>
      </c>
      <c r="C27" s="53" t="s">
        <v>235</v>
      </c>
      <c r="D27" s="53">
        <v>607200</v>
      </c>
      <c r="E27" s="53">
        <v>707200</v>
      </c>
      <c r="F27" s="53">
        <v>371020</v>
      </c>
      <c r="G27" s="53">
        <v>603700</v>
      </c>
    </row>
    <row r="28" spans="1:7">
      <c r="A28" s="53" t="s">
        <v>105</v>
      </c>
      <c r="B28" s="53" t="s">
        <v>101</v>
      </c>
      <c r="C28" s="53" t="s">
        <v>235</v>
      </c>
      <c r="D28" s="53">
        <v>607300</v>
      </c>
      <c r="E28" s="53">
        <v>707300</v>
      </c>
      <c r="F28" s="53">
        <v>371030</v>
      </c>
      <c r="G28" s="53">
        <v>603700</v>
      </c>
    </row>
    <row r="29" spans="1:7">
      <c r="A29" s="53" t="s">
        <v>71</v>
      </c>
      <c r="B29" s="53" t="s">
        <v>72</v>
      </c>
      <c r="C29" s="53" t="s">
        <v>235</v>
      </c>
      <c r="D29" s="53">
        <v>624100</v>
      </c>
      <c r="E29" s="53">
        <v>708500</v>
      </c>
      <c r="F29" s="53"/>
      <c r="G29" s="53"/>
    </row>
    <row r="30" spans="1:7">
      <c r="A30" s="53" t="s">
        <v>73</v>
      </c>
      <c r="B30" s="53" t="s">
        <v>74</v>
      </c>
      <c r="C30" s="53" t="s">
        <v>235</v>
      </c>
      <c r="D30" s="53">
        <v>609700</v>
      </c>
      <c r="E30" s="53">
        <v>709700</v>
      </c>
      <c r="F30" s="53"/>
      <c r="G30" s="53"/>
    </row>
  </sheetData>
  <sortState ref="A23:B26">
    <sortCondition ref="A23"/>
  </sortState>
  <mergeCells count="1">
    <mergeCell ref="A1:G1"/>
  </mergeCells>
  <pageMargins left="0.31496062992125984" right="0.31496062992125984" top="0.35433070866141736" bottom="0.74803149606299213" header="0.31496062992125984" footer="0.31496062992125984"/>
  <pageSetup paperSize="9" scale="61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topLeftCell="D1" workbookViewId="0">
      <selection activeCell="H23" sqref="H23"/>
    </sheetView>
  </sheetViews>
  <sheetFormatPr baseColWidth="10" defaultRowHeight="15"/>
  <cols>
    <col min="1" max="1" width="8.140625" customWidth="1"/>
    <col min="2" max="2" width="7.85546875" customWidth="1"/>
    <col min="3" max="3" width="10.42578125" customWidth="1"/>
    <col min="4" max="4" width="31.85546875" customWidth="1"/>
    <col min="6" max="6" width="11.42578125" customWidth="1"/>
    <col min="7" max="7" width="19.140625" customWidth="1"/>
    <col min="8" max="8" width="16.85546875" customWidth="1"/>
    <col min="9" max="9" width="14.5703125" customWidth="1"/>
    <col min="10" max="10" width="12.5703125" customWidth="1"/>
    <col min="11" max="11" width="14.5703125" customWidth="1"/>
    <col min="12" max="12" width="12.28515625" customWidth="1"/>
  </cols>
  <sheetData>
    <row r="1" spans="1:12" ht="18.75">
      <c r="A1" s="78" t="s">
        <v>546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16" t="s">
        <v>515</v>
      </c>
      <c r="B2" s="16" t="s">
        <v>516</v>
      </c>
      <c r="C2" s="16" t="s">
        <v>174</v>
      </c>
      <c r="D2" s="16" t="s">
        <v>66</v>
      </c>
      <c r="E2" s="16" t="s">
        <v>517</v>
      </c>
      <c r="F2" s="16" t="s">
        <v>518</v>
      </c>
      <c r="G2" s="16" t="s">
        <v>547</v>
      </c>
      <c r="H2" s="16" t="s">
        <v>548</v>
      </c>
      <c r="I2" s="16" t="s">
        <v>519</v>
      </c>
      <c r="J2" s="16" t="s">
        <v>520</v>
      </c>
      <c r="K2" s="16" t="s">
        <v>521</v>
      </c>
      <c r="L2" s="16" t="s">
        <v>522</v>
      </c>
    </row>
    <row r="3" spans="1:12">
      <c r="A3" s="12">
        <v>211000</v>
      </c>
      <c r="B3" s="12">
        <v>1</v>
      </c>
      <c r="C3" s="12" t="s">
        <v>523</v>
      </c>
      <c r="D3" s="12" t="s">
        <v>524</v>
      </c>
      <c r="E3" s="20">
        <v>41275</v>
      </c>
      <c r="F3" s="12" t="s">
        <v>525</v>
      </c>
      <c r="G3" s="12" t="s">
        <v>526</v>
      </c>
      <c r="H3" s="12" t="s">
        <v>526</v>
      </c>
      <c r="I3" s="63">
        <v>0</v>
      </c>
      <c r="J3" s="63">
        <v>0</v>
      </c>
      <c r="K3" s="62">
        <v>10000</v>
      </c>
      <c r="L3" s="62">
        <v>10000</v>
      </c>
    </row>
    <row r="4" spans="1:12">
      <c r="A4" s="12">
        <v>213000</v>
      </c>
      <c r="B4" s="12">
        <v>2</v>
      </c>
      <c r="C4" s="12" t="s">
        <v>527</v>
      </c>
      <c r="D4" s="12" t="s">
        <v>528</v>
      </c>
      <c r="E4" s="20">
        <v>41275</v>
      </c>
      <c r="F4" s="12" t="s">
        <v>525</v>
      </c>
      <c r="G4" s="12" t="s">
        <v>529</v>
      </c>
      <c r="H4" s="12" t="s">
        <v>529</v>
      </c>
      <c r="I4" s="63">
        <v>0.04</v>
      </c>
      <c r="J4" s="63">
        <v>0.04</v>
      </c>
      <c r="K4" s="62">
        <v>50000</v>
      </c>
      <c r="L4" s="62">
        <v>50000</v>
      </c>
    </row>
    <row r="5" spans="1:12">
      <c r="A5" s="12">
        <v>218200</v>
      </c>
      <c r="B5" s="12">
        <v>3</v>
      </c>
      <c r="C5" s="12" t="s">
        <v>530</v>
      </c>
      <c r="D5" s="12" t="s">
        <v>549</v>
      </c>
      <c r="E5" s="20">
        <v>41275</v>
      </c>
      <c r="F5" s="12" t="s">
        <v>525</v>
      </c>
      <c r="G5" s="12" t="s">
        <v>529</v>
      </c>
      <c r="H5" s="12" t="s">
        <v>529</v>
      </c>
      <c r="I5" s="63">
        <v>0.2</v>
      </c>
      <c r="J5" s="63">
        <v>0.2</v>
      </c>
      <c r="K5" s="62">
        <v>12000</v>
      </c>
      <c r="L5" s="62">
        <v>12000</v>
      </c>
    </row>
    <row r="6" spans="1:12">
      <c r="A6" s="12">
        <v>218200</v>
      </c>
      <c r="B6" s="12">
        <v>9</v>
      </c>
      <c r="C6" s="12" t="s">
        <v>539</v>
      </c>
      <c r="D6" s="12" t="s">
        <v>550</v>
      </c>
      <c r="E6" s="20">
        <v>41275</v>
      </c>
      <c r="F6" s="12" t="s">
        <v>525</v>
      </c>
      <c r="G6" s="12" t="s">
        <v>529</v>
      </c>
      <c r="H6" s="12" t="s">
        <v>529</v>
      </c>
      <c r="I6" s="63">
        <v>0.2</v>
      </c>
      <c r="J6" s="63">
        <v>0.2</v>
      </c>
      <c r="K6" s="62">
        <v>8000</v>
      </c>
      <c r="L6" s="62">
        <v>8000</v>
      </c>
    </row>
    <row r="7" spans="1:12">
      <c r="A7" s="12">
        <v>218300</v>
      </c>
      <c r="B7" s="12">
        <v>5</v>
      </c>
      <c r="C7" s="12" t="s">
        <v>531</v>
      </c>
      <c r="D7" s="12" t="s">
        <v>532</v>
      </c>
      <c r="E7" s="20">
        <v>41275</v>
      </c>
      <c r="F7" s="12" t="s">
        <v>525</v>
      </c>
      <c r="G7" s="12" t="s">
        <v>529</v>
      </c>
      <c r="H7" s="12" t="s">
        <v>529</v>
      </c>
      <c r="I7" s="63">
        <v>0.25</v>
      </c>
      <c r="J7" s="63">
        <v>0.25</v>
      </c>
      <c r="K7" s="62">
        <v>1200</v>
      </c>
      <c r="L7" s="62">
        <v>1200</v>
      </c>
    </row>
    <row r="8" spans="1:12">
      <c r="A8" s="12">
        <v>218300</v>
      </c>
      <c r="B8" s="12">
        <v>6</v>
      </c>
      <c r="C8" s="12" t="s">
        <v>533</v>
      </c>
      <c r="D8" s="12" t="s">
        <v>534</v>
      </c>
      <c r="E8" s="20">
        <v>41275</v>
      </c>
      <c r="F8" s="12" t="s">
        <v>525</v>
      </c>
      <c r="G8" s="12" t="s">
        <v>529</v>
      </c>
      <c r="H8" s="12" t="s">
        <v>529</v>
      </c>
      <c r="I8" s="63">
        <v>0.25</v>
      </c>
      <c r="J8" s="63">
        <v>0.25</v>
      </c>
      <c r="K8" s="62">
        <v>1800</v>
      </c>
      <c r="L8" s="62">
        <v>1800</v>
      </c>
    </row>
    <row r="9" spans="1:12">
      <c r="A9" s="12">
        <v>218400</v>
      </c>
      <c r="B9" s="12">
        <v>7</v>
      </c>
      <c r="C9" s="12" t="s">
        <v>535</v>
      </c>
      <c r="D9" s="12" t="s">
        <v>536</v>
      </c>
      <c r="E9" s="20">
        <v>41275</v>
      </c>
      <c r="F9" s="12" t="s">
        <v>525</v>
      </c>
      <c r="G9" s="12" t="s">
        <v>529</v>
      </c>
      <c r="H9" s="12" t="s">
        <v>529</v>
      </c>
      <c r="I9" s="63">
        <v>0.1</v>
      </c>
      <c r="J9" s="63">
        <v>0.1</v>
      </c>
      <c r="K9" s="62">
        <v>1300</v>
      </c>
      <c r="L9" s="62">
        <v>1300</v>
      </c>
    </row>
    <row r="10" spans="1:12">
      <c r="A10" s="12">
        <v>218400</v>
      </c>
      <c r="B10" s="12">
        <v>8</v>
      </c>
      <c r="C10" s="12" t="s">
        <v>537</v>
      </c>
      <c r="D10" s="12" t="s">
        <v>538</v>
      </c>
      <c r="E10" s="20">
        <v>41275</v>
      </c>
      <c r="F10" s="12" t="s">
        <v>525</v>
      </c>
      <c r="G10" s="12" t="s">
        <v>529</v>
      </c>
      <c r="H10" s="12" t="s">
        <v>529</v>
      </c>
      <c r="I10" s="63">
        <v>0.1</v>
      </c>
      <c r="J10" s="63">
        <v>0.1</v>
      </c>
      <c r="K10" s="62">
        <v>700</v>
      </c>
      <c r="L10" s="62">
        <v>700</v>
      </c>
    </row>
    <row r="11" spans="1:12">
      <c r="A11" s="12">
        <v>218300</v>
      </c>
      <c r="B11" s="12">
        <v>10</v>
      </c>
      <c r="C11" s="12" t="s">
        <v>540</v>
      </c>
      <c r="D11" s="12" t="s">
        <v>541</v>
      </c>
      <c r="E11" s="20">
        <v>41547</v>
      </c>
      <c r="F11" s="12" t="s">
        <v>542</v>
      </c>
      <c r="G11" s="12" t="s">
        <v>526</v>
      </c>
      <c r="H11" s="12" t="s">
        <v>526</v>
      </c>
      <c r="I11" s="63">
        <v>0</v>
      </c>
      <c r="J11" s="63">
        <v>0</v>
      </c>
      <c r="K11" s="62">
        <v>5000</v>
      </c>
      <c r="L11" s="62">
        <v>5000</v>
      </c>
    </row>
    <row r="12" spans="1:12">
      <c r="A12" s="12">
        <v>205000</v>
      </c>
      <c r="B12" s="12">
        <v>11</v>
      </c>
      <c r="C12" s="12" t="s">
        <v>543</v>
      </c>
      <c r="D12" s="12" t="s">
        <v>544</v>
      </c>
      <c r="E12" s="20">
        <v>41640</v>
      </c>
      <c r="F12" s="12" t="s">
        <v>525</v>
      </c>
      <c r="G12" s="12" t="s">
        <v>529</v>
      </c>
      <c r="H12" s="12" t="s">
        <v>545</v>
      </c>
      <c r="I12" s="63">
        <v>0.33333333333333337</v>
      </c>
      <c r="J12" s="63">
        <v>0.33333333333333337</v>
      </c>
      <c r="K12" s="62">
        <v>2600</v>
      </c>
      <c r="L12" s="62">
        <v>2600</v>
      </c>
    </row>
    <row r="15" spans="1:12">
      <c r="D15" s="15" t="s">
        <v>551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C4" sqref="C4"/>
    </sheetView>
  </sheetViews>
  <sheetFormatPr baseColWidth="10" defaultRowHeight="15"/>
  <cols>
    <col min="2" max="2" width="30.7109375" customWidth="1"/>
    <col min="3" max="3" width="25.28515625" customWidth="1"/>
    <col min="4" max="4" width="16.140625" customWidth="1"/>
    <col min="5" max="5" width="17" customWidth="1"/>
    <col min="6" max="6" width="10.42578125" customWidth="1"/>
    <col min="8" max="8" width="11.85546875" bestFit="1" customWidth="1"/>
    <col min="9" max="9" width="20.140625" customWidth="1"/>
  </cols>
  <sheetData>
    <row r="1" spans="1:10" ht="18.75">
      <c r="A1" s="77" t="s">
        <v>340</v>
      </c>
      <c r="B1" s="77"/>
      <c r="C1" s="77"/>
      <c r="D1" s="77"/>
      <c r="E1" s="77"/>
      <c r="F1" s="77"/>
      <c r="G1" s="77"/>
      <c r="H1" s="77"/>
      <c r="I1" s="77"/>
    </row>
    <row r="2" spans="1:10">
      <c r="A2" s="16" t="s">
        <v>277</v>
      </c>
      <c r="B2" s="16" t="s">
        <v>341</v>
      </c>
      <c r="C2" s="16" t="s">
        <v>239</v>
      </c>
      <c r="D2" s="16" t="s">
        <v>278</v>
      </c>
      <c r="E2" s="16" t="s">
        <v>279</v>
      </c>
      <c r="F2" s="16" t="s">
        <v>280</v>
      </c>
      <c r="G2" s="16" t="s">
        <v>281</v>
      </c>
      <c r="H2" s="16" t="s">
        <v>282</v>
      </c>
      <c r="I2" s="16" t="s">
        <v>283</v>
      </c>
      <c r="J2" s="15"/>
    </row>
    <row r="3" spans="1:10">
      <c r="A3" s="54" t="s">
        <v>284</v>
      </c>
      <c r="B3" s="55" t="s">
        <v>78</v>
      </c>
      <c r="C3" s="54" t="s">
        <v>285</v>
      </c>
      <c r="D3" s="55" t="s">
        <v>106</v>
      </c>
      <c r="E3" s="17" t="s">
        <v>105</v>
      </c>
      <c r="F3" s="56" t="s">
        <v>286</v>
      </c>
      <c r="G3" s="17" t="s">
        <v>287</v>
      </c>
      <c r="H3" s="57">
        <v>6750</v>
      </c>
      <c r="I3" s="17">
        <v>1.4</v>
      </c>
    </row>
    <row r="4" spans="1:10" ht="13.5" customHeight="1">
      <c r="A4" s="54" t="s">
        <v>288</v>
      </c>
      <c r="B4" s="55" t="s">
        <v>289</v>
      </c>
      <c r="C4" s="54" t="s">
        <v>285</v>
      </c>
      <c r="D4" s="55" t="s">
        <v>106</v>
      </c>
      <c r="E4" s="17" t="s">
        <v>105</v>
      </c>
      <c r="F4" s="56" t="s">
        <v>290</v>
      </c>
      <c r="G4" s="17" t="s">
        <v>287</v>
      </c>
      <c r="H4" s="57">
        <v>11010</v>
      </c>
      <c r="I4" s="17">
        <v>1.4</v>
      </c>
    </row>
    <row r="5" spans="1:10" ht="28.5" customHeight="1">
      <c r="A5" s="54" t="s">
        <v>291</v>
      </c>
      <c r="B5" s="55" t="s">
        <v>292</v>
      </c>
      <c r="C5" s="54" t="s">
        <v>285</v>
      </c>
      <c r="D5" s="55" t="s">
        <v>110</v>
      </c>
      <c r="E5" s="17" t="s">
        <v>105</v>
      </c>
      <c r="F5" s="56" t="s">
        <v>293</v>
      </c>
      <c r="G5" s="17" t="s">
        <v>287</v>
      </c>
      <c r="H5" s="57">
        <v>3120</v>
      </c>
      <c r="I5" s="17">
        <v>1.4</v>
      </c>
    </row>
    <row r="6" spans="1:10">
      <c r="A6" s="54" t="s">
        <v>294</v>
      </c>
      <c r="B6" s="55" t="s">
        <v>78</v>
      </c>
      <c r="C6" s="54" t="s">
        <v>295</v>
      </c>
      <c r="D6" s="55" t="s">
        <v>106</v>
      </c>
      <c r="E6" s="17" t="s">
        <v>105</v>
      </c>
      <c r="F6" s="56" t="s">
        <v>296</v>
      </c>
      <c r="G6" s="17" t="s">
        <v>287</v>
      </c>
      <c r="H6" s="57">
        <v>4000</v>
      </c>
      <c r="I6" s="17">
        <v>1.4</v>
      </c>
    </row>
    <row r="7" spans="1:10" ht="29.25" customHeight="1">
      <c r="A7" s="54" t="s">
        <v>297</v>
      </c>
      <c r="B7" s="55" t="s">
        <v>298</v>
      </c>
      <c r="C7" s="54" t="s">
        <v>295</v>
      </c>
      <c r="D7" s="55" t="s">
        <v>106</v>
      </c>
      <c r="E7" s="17" t="s">
        <v>105</v>
      </c>
      <c r="F7" s="56" t="s">
        <v>299</v>
      </c>
      <c r="G7" s="17" t="s">
        <v>287</v>
      </c>
      <c r="H7" s="57">
        <v>6200</v>
      </c>
      <c r="I7" s="17">
        <v>1.4</v>
      </c>
    </row>
    <row r="8" spans="1:10" ht="30">
      <c r="A8" s="54" t="s">
        <v>300</v>
      </c>
      <c r="B8" s="55" t="s">
        <v>301</v>
      </c>
      <c r="C8" s="54" t="s">
        <v>295</v>
      </c>
      <c r="D8" s="55" t="s">
        <v>302</v>
      </c>
      <c r="E8" s="17" t="s">
        <v>105</v>
      </c>
      <c r="F8" s="56" t="s">
        <v>303</v>
      </c>
      <c r="G8" s="17" t="s">
        <v>287</v>
      </c>
      <c r="H8" s="57">
        <v>1820</v>
      </c>
      <c r="I8" s="17">
        <v>1.4</v>
      </c>
    </row>
    <row r="9" spans="1:10">
      <c r="A9" s="54" t="s">
        <v>185</v>
      </c>
      <c r="B9" s="55" t="s">
        <v>304</v>
      </c>
      <c r="C9" s="54" t="s">
        <v>295</v>
      </c>
      <c r="D9" s="55" t="s">
        <v>107</v>
      </c>
      <c r="E9" s="17" t="s">
        <v>105</v>
      </c>
      <c r="F9" s="56" t="s">
        <v>305</v>
      </c>
      <c r="G9" s="17" t="s">
        <v>287</v>
      </c>
      <c r="H9" s="57">
        <v>1190</v>
      </c>
      <c r="I9" s="17">
        <v>1.4</v>
      </c>
    </row>
    <row r="10" spans="1:10">
      <c r="A10" s="54" t="s">
        <v>306</v>
      </c>
      <c r="B10" s="55" t="s">
        <v>307</v>
      </c>
      <c r="C10" s="54" t="s">
        <v>295</v>
      </c>
      <c r="D10" s="55" t="s">
        <v>109</v>
      </c>
      <c r="E10" s="17" t="s">
        <v>105</v>
      </c>
      <c r="F10" s="56" t="s">
        <v>308</v>
      </c>
      <c r="G10" s="17" t="s">
        <v>287</v>
      </c>
      <c r="H10" s="57">
        <v>1900</v>
      </c>
      <c r="I10" s="17">
        <v>1.4</v>
      </c>
    </row>
    <row r="11" spans="1:10">
      <c r="A11" s="54" t="s">
        <v>309</v>
      </c>
      <c r="B11" s="55" t="s">
        <v>310</v>
      </c>
      <c r="C11" s="54" t="s">
        <v>295</v>
      </c>
      <c r="D11" s="55" t="s">
        <v>112</v>
      </c>
      <c r="E11" s="17" t="s">
        <v>105</v>
      </c>
      <c r="F11" s="56" t="s">
        <v>311</v>
      </c>
      <c r="G11" s="17" t="s">
        <v>287</v>
      </c>
      <c r="H11" s="57">
        <v>2180</v>
      </c>
      <c r="I11" s="17">
        <v>1.4</v>
      </c>
    </row>
    <row r="12" spans="1:10">
      <c r="A12" s="54" t="s">
        <v>176</v>
      </c>
      <c r="B12" s="55" t="s">
        <v>80</v>
      </c>
      <c r="C12" s="54" t="s">
        <v>76</v>
      </c>
      <c r="D12" s="55" t="s">
        <v>106</v>
      </c>
      <c r="E12" s="17" t="s">
        <v>104</v>
      </c>
      <c r="F12" s="56" t="s">
        <v>312</v>
      </c>
      <c r="G12" s="17" t="s">
        <v>313</v>
      </c>
      <c r="H12" s="57">
        <v>3350</v>
      </c>
      <c r="I12" s="17">
        <v>1.4</v>
      </c>
    </row>
    <row r="13" spans="1:10">
      <c r="A13" s="54" t="s">
        <v>177</v>
      </c>
      <c r="B13" s="55" t="s">
        <v>79</v>
      </c>
      <c r="C13" s="54" t="s">
        <v>76</v>
      </c>
      <c r="D13" s="55" t="s">
        <v>106</v>
      </c>
      <c r="E13" s="17" t="s">
        <v>104</v>
      </c>
      <c r="F13" s="56" t="s">
        <v>314</v>
      </c>
      <c r="G13" s="17" t="s">
        <v>313</v>
      </c>
      <c r="H13" s="57">
        <v>2980</v>
      </c>
      <c r="I13" s="17">
        <v>1.4</v>
      </c>
    </row>
    <row r="14" spans="1:10">
      <c r="A14" s="54" t="s">
        <v>315</v>
      </c>
      <c r="B14" s="55" t="s">
        <v>316</v>
      </c>
      <c r="C14" s="54" t="s">
        <v>76</v>
      </c>
      <c r="D14" s="55" t="s">
        <v>106</v>
      </c>
      <c r="E14" s="17" t="s">
        <v>104</v>
      </c>
      <c r="F14" s="56" t="s">
        <v>317</v>
      </c>
      <c r="G14" s="17" t="s">
        <v>313</v>
      </c>
      <c r="H14" s="57">
        <v>6400</v>
      </c>
      <c r="I14" s="17">
        <v>1.4</v>
      </c>
    </row>
    <row r="15" spans="1:10">
      <c r="A15" s="54" t="s">
        <v>318</v>
      </c>
      <c r="B15" s="55" t="s">
        <v>319</v>
      </c>
      <c r="C15" s="54" t="s">
        <v>76</v>
      </c>
      <c r="D15" s="55" t="s">
        <v>107</v>
      </c>
      <c r="E15" s="17" t="s">
        <v>104</v>
      </c>
      <c r="F15" s="56" t="s">
        <v>320</v>
      </c>
      <c r="G15" s="17" t="s">
        <v>313</v>
      </c>
      <c r="H15" s="57">
        <v>1780</v>
      </c>
      <c r="I15" s="17">
        <v>1.4</v>
      </c>
    </row>
    <row r="16" spans="1:10">
      <c r="A16" s="54" t="s">
        <v>179</v>
      </c>
      <c r="B16" s="55" t="s">
        <v>321</v>
      </c>
      <c r="C16" s="54" t="s">
        <v>76</v>
      </c>
      <c r="D16" s="55" t="s">
        <v>109</v>
      </c>
      <c r="E16" s="17" t="s">
        <v>104</v>
      </c>
      <c r="F16" s="56" t="s">
        <v>322</v>
      </c>
      <c r="G16" s="17" t="s">
        <v>313</v>
      </c>
      <c r="H16" s="57">
        <v>8200</v>
      </c>
      <c r="I16" s="17">
        <v>1.4</v>
      </c>
    </row>
    <row r="17" spans="1:9" ht="30">
      <c r="A17" s="54" t="s">
        <v>180</v>
      </c>
      <c r="B17" s="55" t="s">
        <v>323</v>
      </c>
      <c r="C17" s="54" t="s">
        <v>76</v>
      </c>
      <c r="D17" s="55" t="s">
        <v>110</v>
      </c>
      <c r="E17" s="17" t="s">
        <v>104</v>
      </c>
      <c r="F17" s="56" t="s">
        <v>324</v>
      </c>
      <c r="G17" s="17" t="s">
        <v>313</v>
      </c>
      <c r="H17" s="57">
        <v>5200</v>
      </c>
      <c r="I17" s="17">
        <v>1.4</v>
      </c>
    </row>
    <row r="18" spans="1:9">
      <c r="A18" s="54" t="s">
        <v>173</v>
      </c>
      <c r="B18" s="55" t="s">
        <v>77</v>
      </c>
      <c r="C18" s="54" t="s">
        <v>75</v>
      </c>
      <c r="D18" s="55" t="s">
        <v>106</v>
      </c>
      <c r="E18" s="17" t="s">
        <v>103</v>
      </c>
      <c r="F18" s="56" t="s">
        <v>325</v>
      </c>
      <c r="G18" s="17" t="s">
        <v>326</v>
      </c>
      <c r="H18" s="57">
        <v>2400</v>
      </c>
      <c r="I18" s="17">
        <v>1.5</v>
      </c>
    </row>
    <row r="19" spans="1:9">
      <c r="A19" s="54" t="s">
        <v>175</v>
      </c>
      <c r="B19" s="55" t="s">
        <v>78</v>
      </c>
      <c r="C19" s="54" t="s">
        <v>75</v>
      </c>
      <c r="D19" s="55" t="s">
        <v>106</v>
      </c>
      <c r="E19" s="17" t="s">
        <v>103</v>
      </c>
      <c r="F19" s="56" t="s">
        <v>327</v>
      </c>
      <c r="G19" s="17" t="s">
        <v>328</v>
      </c>
      <c r="H19" s="57">
        <v>3200</v>
      </c>
      <c r="I19" s="17">
        <v>1.5</v>
      </c>
    </row>
    <row r="20" spans="1:9" ht="30">
      <c r="A20" s="54" t="s">
        <v>329</v>
      </c>
      <c r="B20" s="55" t="s">
        <v>330</v>
      </c>
      <c r="C20" s="54" t="s">
        <v>75</v>
      </c>
      <c r="D20" s="55" t="s">
        <v>302</v>
      </c>
      <c r="E20" s="17" t="s">
        <v>103</v>
      </c>
      <c r="F20" s="56" t="s">
        <v>331</v>
      </c>
      <c r="G20" s="17" t="s">
        <v>326</v>
      </c>
      <c r="H20" s="57">
        <v>1750</v>
      </c>
      <c r="I20" s="17">
        <v>1.5</v>
      </c>
    </row>
    <row r="21" spans="1:9">
      <c r="A21" s="54" t="s">
        <v>186</v>
      </c>
      <c r="B21" s="55" t="s">
        <v>332</v>
      </c>
      <c r="C21" s="54" t="s">
        <v>75</v>
      </c>
      <c r="D21" s="55" t="s">
        <v>107</v>
      </c>
      <c r="E21" s="17" t="s">
        <v>103</v>
      </c>
      <c r="F21" s="56">
        <v>525</v>
      </c>
      <c r="G21" s="17" t="s">
        <v>326</v>
      </c>
      <c r="H21" s="57">
        <v>350</v>
      </c>
      <c r="I21" s="17">
        <v>1.5</v>
      </c>
    </row>
    <row r="22" spans="1:9">
      <c r="A22" s="54" t="s">
        <v>181</v>
      </c>
      <c r="B22" s="55" t="s">
        <v>333</v>
      </c>
      <c r="C22" s="54" t="s">
        <v>75</v>
      </c>
      <c r="D22" s="55" t="s">
        <v>108</v>
      </c>
      <c r="E22" s="17" t="s">
        <v>103</v>
      </c>
      <c r="F22" s="56">
        <v>375</v>
      </c>
      <c r="G22" s="17" t="s">
        <v>328</v>
      </c>
      <c r="H22" s="57">
        <v>250</v>
      </c>
      <c r="I22" s="17">
        <v>1.5</v>
      </c>
    </row>
    <row r="23" spans="1:9">
      <c r="A23" s="54" t="s">
        <v>182</v>
      </c>
      <c r="B23" s="55" t="s">
        <v>334</v>
      </c>
      <c r="C23" s="54" t="s">
        <v>75</v>
      </c>
      <c r="D23" s="55" t="s">
        <v>335</v>
      </c>
      <c r="E23" s="17" t="s">
        <v>103</v>
      </c>
      <c r="F23" s="56">
        <v>345</v>
      </c>
      <c r="G23" s="17" t="s">
        <v>328</v>
      </c>
      <c r="H23" s="57">
        <v>230</v>
      </c>
      <c r="I23" s="17">
        <v>1.5</v>
      </c>
    </row>
    <row r="24" spans="1:9">
      <c r="A24" s="54" t="s">
        <v>183</v>
      </c>
      <c r="B24" s="55" t="s">
        <v>336</v>
      </c>
      <c r="C24" s="54" t="s">
        <v>75</v>
      </c>
      <c r="D24" s="55" t="s">
        <v>111</v>
      </c>
      <c r="E24" s="17" t="s">
        <v>103</v>
      </c>
      <c r="F24" s="56" t="s">
        <v>337</v>
      </c>
      <c r="G24" s="17" t="s">
        <v>328</v>
      </c>
      <c r="H24" s="57">
        <v>1430</v>
      </c>
      <c r="I24" s="17">
        <v>1.5</v>
      </c>
    </row>
    <row r="25" spans="1:9">
      <c r="A25" s="54" t="s">
        <v>338</v>
      </c>
      <c r="B25" s="55" t="s">
        <v>310</v>
      </c>
      <c r="C25" s="54" t="s">
        <v>75</v>
      </c>
      <c r="D25" s="55" t="s">
        <v>112</v>
      </c>
      <c r="E25" s="17" t="s">
        <v>103</v>
      </c>
      <c r="F25" s="56" t="s">
        <v>339</v>
      </c>
      <c r="G25" s="17" t="s">
        <v>328</v>
      </c>
      <c r="H25" s="57">
        <v>1080</v>
      </c>
      <c r="I25" s="17">
        <v>1.5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B6" sqref="B6"/>
    </sheetView>
  </sheetViews>
  <sheetFormatPr baseColWidth="10" defaultRowHeight="15"/>
  <cols>
    <col min="1" max="1" width="15.140625" customWidth="1"/>
    <col min="2" max="2" width="30.85546875" customWidth="1"/>
    <col min="3" max="3" width="14" customWidth="1"/>
    <col min="4" max="4" width="27.7109375" customWidth="1"/>
    <col min="5" max="5" width="13.140625" customWidth="1"/>
    <col min="6" max="6" width="23" customWidth="1"/>
  </cols>
  <sheetData>
    <row r="1" spans="1:6" ht="21">
      <c r="A1" s="79" t="s">
        <v>466</v>
      </c>
      <c r="B1" s="79"/>
      <c r="C1" s="79"/>
      <c r="D1" s="79"/>
      <c r="E1" s="79"/>
      <c r="F1" s="79"/>
    </row>
    <row r="2" spans="1:6">
      <c r="A2" s="19" t="s">
        <v>62</v>
      </c>
      <c r="B2" s="19" t="s">
        <v>342</v>
      </c>
      <c r="C2" s="19" t="s">
        <v>59</v>
      </c>
      <c r="D2" s="19" t="s">
        <v>60</v>
      </c>
      <c r="E2" s="19" t="s">
        <v>58</v>
      </c>
      <c r="F2" s="19" t="s">
        <v>343</v>
      </c>
    </row>
    <row r="3" spans="1:6">
      <c r="A3" s="12" t="s">
        <v>344</v>
      </c>
      <c r="B3" s="12" t="s">
        <v>345</v>
      </c>
      <c r="C3" s="13">
        <v>39150</v>
      </c>
      <c r="D3" s="12" t="s">
        <v>346</v>
      </c>
      <c r="E3" s="14" t="s">
        <v>439</v>
      </c>
      <c r="F3" s="13" t="s">
        <v>347</v>
      </c>
    </row>
    <row r="4" spans="1:6">
      <c r="A4" s="12" t="s">
        <v>348</v>
      </c>
      <c r="B4" s="12" t="s">
        <v>349</v>
      </c>
      <c r="C4" s="13">
        <v>39200</v>
      </c>
      <c r="D4" s="12" t="s">
        <v>350</v>
      </c>
      <c r="E4" s="13"/>
      <c r="F4" s="13" t="s">
        <v>351</v>
      </c>
    </row>
    <row r="5" spans="1:6">
      <c r="A5" s="12" t="s">
        <v>352</v>
      </c>
      <c r="B5" s="12" t="s">
        <v>353</v>
      </c>
      <c r="C5" s="13">
        <v>39310</v>
      </c>
      <c r="D5" s="12" t="s">
        <v>354</v>
      </c>
      <c r="E5" s="14" t="s">
        <v>440</v>
      </c>
      <c r="F5" s="13" t="s">
        <v>347</v>
      </c>
    </row>
    <row r="6" spans="1:6">
      <c r="A6" s="12" t="s">
        <v>355</v>
      </c>
      <c r="B6" s="12" t="s">
        <v>356</v>
      </c>
      <c r="C6" s="13">
        <v>39210</v>
      </c>
      <c r="D6" s="12" t="s">
        <v>357</v>
      </c>
      <c r="E6" s="14" t="s">
        <v>441</v>
      </c>
      <c r="F6" s="13" t="s">
        <v>347</v>
      </c>
    </row>
    <row r="7" spans="1:6">
      <c r="A7" s="12" t="s">
        <v>358</v>
      </c>
      <c r="B7" s="12" t="s">
        <v>359</v>
      </c>
      <c r="C7" s="13">
        <v>39190</v>
      </c>
      <c r="D7" s="12" t="s">
        <v>360</v>
      </c>
      <c r="E7" s="14" t="s">
        <v>442</v>
      </c>
      <c r="F7" s="13" t="s">
        <v>347</v>
      </c>
    </row>
    <row r="8" spans="1:6">
      <c r="A8" s="12" t="s">
        <v>361</v>
      </c>
      <c r="B8" s="12" t="s">
        <v>362</v>
      </c>
      <c r="C8" s="13">
        <v>39300</v>
      </c>
      <c r="D8" s="12" t="s">
        <v>363</v>
      </c>
      <c r="E8" s="14" t="s">
        <v>443</v>
      </c>
      <c r="F8" s="13" t="s">
        <v>347</v>
      </c>
    </row>
    <row r="9" spans="1:6">
      <c r="A9" s="12" t="s">
        <v>364</v>
      </c>
      <c r="B9" s="12" t="s">
        <v>365</v>
      </c>
      <c r="C9" s="13">
        <v>39260</v>
      </c>
      <c r="D9" s="12" t="s">
        <v>366</v>
      </c>
      <c r="E9" s="14" t="s">
        <v>444</v>
      </c>
      <c r="F9" s="13" t="s">
        <v>367</v>
      </c>
    </row>
    <row r="10" spans="1:6">
      <c r="A10" s="12" t="s">
        <v>368</v>
      </c>
      <c r="B10" s="12" t="s">
        <v>369</v>
      </c>
      <c r="C10" s="13">
        <v>1440</v>
      </c>
      <c r="D10" s="12" t="s">
        <v>370</v>
      </c>
      <c r="E10" s="14" t="s">
        <v>445</v>
      </c>
      <c r="F10" s="13" t="s">
        <v>351</v>
      </c>
    </row>
    <row r="11" spans="1:6">
      <c r="A11" s="12" t="s">
        <v>371</v>
      </c>
      <c r="B11" s="12" t="s">
        <v>372</v>
      </c>
      <c r="C11" s="13">
        <v>39570</v>
      </c>
      <c r="D11" s="12" t="s">
        <v>373</v>
      </c>
      <c r="E11" s="14" t="s">
        <v>446</v>
      </c>
      <c r="F11" s="13" t="s">
        <v>351</v>
      </c>
    </row>
    <row r="12" spans="1:6">
      <c r="A12" s="12" t="s">
        <v>374</v>
      </c>
      <c r="B12" s="12" t="s">
        <v>375</v>
      </c>
      <c r="C12" s="13">
        <v>39220</v>
      </c>
      <c r="D12" s="12" t="s">
        <v>376</v>
      </c>
      <c r="E12" s="14" t="s">
        <v>447</v>
      </c>
      <c r="F12" s="13" t="s">
        <v>377</v>
      </c>
    </row>
    <row r="13" spans="1:6">
      <c r="A13" s="12" t="s">
        <v>378</v>
      </c>
      <c r="B13" s="12" t="s">
        <v>379</v>
      </c>
      <c r="C13" s="13">
        <v>25560</v>
      </c>
      <c r="D13" s="12" t="s">
        <v>380</v>
      </c>
      <c r="E13" s="14" t="s">
        <v>448</v>
      </c>
      <c r="F13" s="13" t="s">
        <v>351</v>
      </c>
    </row>
    <row r="14" spans="1:6">
      <c r="A14" s="12" t="s">
        <v>381</v>
      </c>
      <c r="B14" s="12" t="s">
        <v>382</v>
      </c>
      <c r="C14" s="13">
        <v>39600</v>
      </c>
      <c r="D14" s="12" t="s">
        <v>383</v>
      </c>
      <c r="E14" s="14" t="s">
        <v>449</v>
      </c>
      <c r="F14" s="13" t="s">
        <v>384</v>
      </c>
    </row>
    <row r="15" spans="1:6">
      <c r="A15" s="12" t="s">
        <v>385</v>
      </c>
      <c r="B15" s="12" t="s">
        <v>386</v>
      </c>
      <c r="C15" s="13">
        <v>25220</v>
      </c>
      <c r="D15" s="12" t="s">
        <v>387</v>
      </c>
      <c r="E15" s="14" t="s">
        <v>450</v>
      </c>
      <c r="F15" s="13" t="s">
        <v>388</v>
      </c>
    </row>
    <row r="16" spans="1:6">
      <c r="A16" s="12" t="s">
        <v>389</v>
      </c>
      <c r="B16" s="12" t="s">
        <v>390</v>
      </c>
      <c r="C16" s="13">
        <v>39000</v>
      </c>
      <c r="D16" s="12" t="s">
        <v>391</v>
      </c>
      <c r="E16" s="14" t="s">
        <v>451</v>
      </c>
      <c r="F16" s="13" t="s">
        <v>377</v>
      </c>
    </row>
    <row r="17" spans="1:6">
      <c r="A17" s="12" t="s">
        <v>392</v>
      </c>
      <c r="B17" s="12" t="s">
        <v>393</v>
      </c>
      <c r="C17" s="13">
        <v>42000</v>
      </c>
      <c r="D17" s="12" t="s">
        <v>394</v>
      </c>
      <c r="E17" s="14" t="s">
        <v>452</v>
      </c>
      <c r="F17" s="13" t="s">
        <v>395</v>
      </c>
    </row>
    <row r="18" spans="1:6">
      <c r="A18" s="12" t="s">
        <v>396</v>
      </c>
      <c r="B18" s="12" t="s">
        <v>397</v>
      </c>
      <c r="C18" s="13">
        <v>39400</v>
      </c>
      <c r="D18" s="12" t="s">
        <v>398</v>
      </c>
      <c r="E18" s="14" t="s">
        <v>453</v>
      </c>
      <c r="F18" s="13" t="s">
        <v>367</v>
      </c>
    </row>
    <row r="19" spans="1:6">
      <c r="A19" s="12" t="s">
        <v>399</v>
      </c>
      <c r="B19" s="12" t="s">
        <v>400</v>
      </c>
      <c r="C19" s="13">
        <v>39200</v>
      </c>
      <c r="D19" s="12" t="s">
        <v>401</v>
      </c>
      <c r="E19" s="14" t="s">
        <v>454</v>
      </c>
      <c r="F19" s="13" t="s">
        <v>347</v>
      </c>
    </row>
    <row r="20" spans="1:6">
      <c r="A20" s="12" t="s">
        <v>402</v>
      </c>
      <c r="B20" s="12" t="s">
        <v>403</v>
      </c>
      <c r="C20" s="14" t="s">
        <v>467</v>
      </c>
      <c r="D20" s="12" t="s">
        <v>404</v>
      </c>
      <c r="E20" s="14" t="s">
        <v>455</v>
      </c>
      <c r="F20" s="13" t="s">
        <v>351</v>
      </c>
    </row>
    <row r="21" spans="1:6">
      <c r="A21" s="12" t="s">
        <v>405</v>
      </c>
      <c r="B21" s="12" t="s">
        <v>406</v>
      </c>
      <c r="C21" s="13">
        <v>39220</v>
      </c>
      <c r="D21" s="12" t="s">
        <v>376</v>
      </c>
      <c r="E21" s="14" t="s">
        <v>456</v>
      </c>
      <c r="F21" s="13" t="s">
        <v>347</v>
      </c>
    </row>
    <row r="22" spans="1:6">
      <c r="A22" s="12" t="s">
        <v>407</v>
      </c>
      <c r="B22" s="12" t="s">
        <v>408</v>
      </c>
      <c r="C22" s="13">
        <v>39570</v>
      </c>
      <c r="D22" s="12" t="s">
        <v>409</v>
      </c>
      <c r="E22" s="14" t="s">
        <v>457</v>
      </c>
      <c r="F22" s="13" t="s">
        <v>395</v>
      </c>
    </row>
    <row r="23" spans="1:6">
      <c r="A23" s="12" t="s">
        <v>410</v>
      </c>
      <c r="B23" s="12" t="s">
        <v>411</v>
      </c>
      <c r="C23" s="13">
        <v>39000</v>
      </c>
      <c r="D23" s="12" t="s">
        <v>412</v>
      </c>
      <c r="E23" s="13"/>
      <c r="F23" s="13" t="s">
        <v>367</v>
      </c>
    </row>
    <row r="24" spans="1:6">
      <c r="A24" s="12" t="s">
        <v>413</v>
      </c>
      <c r="B24" s="12" t="s">
        <v>414</v>
      </c>
      <c r="C24" s="13">
        <v>39800</v>
      </c>
      <c r="D24" s="12" t="s">
        <v>415</v>
      </c>
      <c r="E24" s="14" t="s">
        <v>458</v>
      </c>
      <c r="F24" s="13" t="s">
        <v>347</v>
      </c>
    </row>
    <row r="25" spans="1:6">
      <c r="A25" s="12" t="s">
        <v>416</v>
      </c>
      <c r="B25" s="12" t="s">
        <v>417</v>
      </c>
      <c r="C25" s="13">
        <v>39100</v>
      </c>
      <c r="D25" s="12" t="s">
        <v>418</v>
      </c>
      <c r="E25" s="14" t="s">
        <v>459</v>
      </c>
      <c r="F25" s="13" t="s">
        <v>388</v>
      </c>
    </row>
    <row r="26" spans="1:6">
      <c r="A26" s="12" t="s">
        <v>419</v>
      </c>
      <c r="B26" s="12" t="s">
        <v>420</v>
      </c>
      <c r="C26" s="13">
        <v>39300</v>
      </c>
      <c r="D26" s="12" t="s">
        <v>363</v>
      </c>
      <c r="E26" s="14" t="s">
        <v>460</v>
      </c>
      <c r="F26" s="13" t="s">
        <v>367</v>
      </c>
    </row>
    <row r="27" spans="1:6">
      <c r="A27" s="12" t="s">
        <v>421</v>
      </c>
      <c r="B27" s="12" t="s">
        <v>422</v>
      </c>
      <c r="C27" s="13">
        <v>39130</v>
      </c>
      <c r="D27" s="12" t="s">
        <v>423</v>
      </c>
      <c r="E27" s="14" t="s">
        <v>461</v>
      </c>
      <c r="F27" s="13" t="s">
        <v>347</v>
      </c>
    </row>
    <row r="28" spans="1:6">
      <c r="A28" s="12" t="s">
        <v>424</v>
      </c>
      <c r="B28" s="12" t="s">
        <v>425</v>
      </c>
      <c r="C28" s="13">
        <v>39800</v>
      </c>
      <c r="D28" s="12" t="s">
        <v>426</v>
      </c>
      <c r="E28" s="14" t="s">
        <v>462</v>
      </c>
      <c r="F28" s="13" t="s">
        <v>347</v>
      </c>
    </row>
    <row r="29" spans="1:6">
      <c r="A29" s="12" t="s">
        <v>427</v>
      </c>
      <c r="B29" s="12" t="s">
        <v>428</v>
      </c>
      <c r="C29" s="13">
        <v>39330</v>
      </c>
      <c r="D29" s="12" t="s">
        <v>429</v>
      </c>
      <c r="E29" s="14" t="s">
        <v>463</v>
      </c>
      <c r="F29" s="13" t="s">
        <v>367</v>
      </c>
    </row>
    <row r="30" spans="1:6">
      <c r="A30" s="12" t="s">
        <v>430</v>
      </c>
      <c r="B30" s="12" t="s">
        <v>431</v>
      </c>
      <c r="C30" s="13">
        <v>25110</v>
      </c>
      <c r="D30" s="12" t="s">
        <v>432</v>
      </c>
      <c r="E30" s="14" t="s">
        <v>464</v>
      </c>
      <c r="F30" s="13" t="s">
        <v>351</v>
      </c>
    </row>
    <row r="31" spans="1:6">
      <c r="A31" s="12" t="s">
        <v>433</v>
      </c>
      <c r="B31" s="12" t="s">
        <v>434</v>
      </c>
      <c r="C31" s="13">
        <v>39000</v>
      </c>
      <c r="D31" s="12" t="s">
        <v>435</v>
      </c>
      <c r="E31" s="14" t="s">
        <v>465</v>
      </c>
      <c r="F31" s="13" t="s">
        <v>351</v>
      </c>
    </row>
    <row r="32" spans="1:6">
      <c r="A32" s="12" t="s">
        <v>436</v>
      </c>
      <c r="B32" s="12" t="s">
        <v>437</v>
      </c>
      <c r="C32" s="13">
        <v>39700</v>
      </c>
      <c r="D32" s="12" t="s">
        <v>438</v>
      </c>
      <c r="E32" s="13"/>
      <c r="F32" s="13" t="s">
        <v>367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E14" activeCellId="6" sqref="E3 E4 E5 E6 E8 E7 E14"/>
    </sheetView>
  </sheetViews>
  <sheetFormatPr baseColWidth="10" defaultRowHeight="15"/>
  <cols>
    <col min="1" max="1" width="15" customWidth="1"/>
    <col min="2" max="2" width="21.5703125" customWidth="1"/>
    <col min="3" max="3" width="18.42578125" customWidth="1"/>
    <col min="4" max="4" width="20" customWidth="1"/>
    <col min="5" max="5" width="24.28515625" customWidth="1"/>
    <col min="6" max="6" width="22.85546875" customWidth="1"/>
    <col min="7" max="7" width="19" customWidth="1"/>
    <col min="8" max="8" width="17.7109375" customWidth="1"/>
  </cols>
  <sheetData>
    <row r="1" spans="1:8" ht="21">
      <c r="A1" s="80" t="s">
        <v>499</v>
      </c>
      <c r="B1" s="80"/>
      <c r="C1" s="80"/>
      <c r="D1" s="80"/>
      <c r="E1" s="80"/>
      <c r="F1" s="61"/>
      <c r="G1" s="61"/>
      <c r="H1" s="61"/>
    </row>
    <row r="2" spans="1:8">
      <c r="A2" s="19" t="s">
        <v>498</v>
      </c>
      <c r="B2" s="19" t="s">
        <v>342</v>
      </c>
      <c r="C2" s="19" t="s">
        <v>59</v>
      </c>
      <c r="D2" s="19" t="s">
        <v>60</v>
      </c>
      <c r="E2" s="19" t="s">
        <v>343</v>
      </c>
      <c r="F2" s="58"/>
      <c r="G2" s="58"/>
      <c r="H2" s="58"/>
    </row>
    <row r="3" spans="1:8">
      <c r="A3" s="12" t="s">
        <v>468</v>
      </c>
      <c r="B3" s="12" t="s">
        <v>469</v>
      </c>
      <c r="C3" s="13">
        <v>39210</v>
      </c>
      <c r="D3" s="12" t="s">
        <v>470</v>
      </c>
      <c r="E3" s="13" t="s">
        <v>347</v>
      </c>
      <c r="F3" s="58"/>
      <c r="G3" s="58"/>
      <c r="H3" s="58"/>
    </row>
    <row r="4" spans="1:8">
      <c r="A4" s="12" t="s">
        <v>471</v>
      </c>
      <c r="B4" s="12" t="s">
        <v>65</v>
      </c>
      <c r="C4" s="13">
        <v>69000</v>
      </c>
      <c r="D4" s="12" t="s">
        <v>472</v>
      </c>
      <c r="E4" s="13" t="s">
        <v>388</v>
      </c>
      <c r="F4" s="59"/>
      <c r="G4" s="59"/>
      <c r="H4" s="59"/>
    </row>
    <row r="5" spans="1:8">
      <c r="A5" s="12" t="s">
        <v>473</v>
      </c>
      <c r="B5" s="12" t="s">
        <v>474</v>
      </c>
      <c r="C5" s="13">
        <v>39600</v>
      </c>
      <c r="D5" s="12" t="s">
        <v>475</v>
      </c>
      <c r="E5" s="13" t="s">
        <v>367</v>
      </c>
      <c r="F5" s="58"/>
      <c r="G5" s="58"/>
      <c r="H5" s="58"/>
    </row>
    <row r="6" spans="1:8">
      <c r="A6" s="12" t="s">
        <v>476</v>
      </c>
      <c r="B6" s="12" t="s">
        <v>477</v>
      </c>
      <c r="C6" s="13">
        <v>39000</v>
      </c>
      <c r="D6" s="12" t="s">
        <v>435</v>
      </c>
      <c r="E6" s="13" t="s">
        <v>478</v>
      </c>
      <c r="F6" s="58"/>
      <c r="G6" s="58"/>
      <c r="H6" s="58"/>
    </row>
    <row r="7" spans="1:8">
      <c r="A7" s="12" t="s">
        <v>287</v>
      </c>
      <c r="B7" s="12" t="s">
        <v>479</v>
      </c>
      <c r="C7" s="13">
        <v>69800</v>
      </c>
      <c r="D7" s="12" t="s">
        <v>480</v>
      </c>
      <c r="E7" s="13" t="s">
        <v>351</v>
      </c>
      <c r="F7" s="60"/>
      <c r="G7" s="60"/>
      <c r="H7" s="60"/>
    </row>
    <row r="8" spans="1:8">
      <c r="A8" s="12" t="s">
        <v>313</v>
      </c>
      <c r="B8" s="12" t="s">
        <v>63</v>
      </c>
      <c r="C8" s="13">
        <v>39190</v>
      </c>
      <c r="D8" s="12" t="s">
        <v>481</v>
      </c>
      <c r="E8" s="13" t="s">
        <v>377</v>
      </c>
      <c r="F8" s="60"/>
      <c r="G8" s="60"/>
      <c r="H8" s="60"/>
    </row>
    <row r="9" spans="1:8">
      <c r="A9" s="12" t="s">
        <v>482</v>
      </c>
      <c r="B9" s="12" t="s">
        <v>483</v>
      </c>
      <c r="C9" s="13"/>
      <c r="D9" s="12"/>
      <c r="E9" s="13" t="s">
        <v>347</v>
      </c>
      <c r="F9" s="11"/>
      <c r="G9" s="58"/>
      <c r="H9" s="58"/>
    </row>
    <row r="10" spans="1:8">
      <c r="A10" s="12" t="s">
        <v>326</v>
      </c>
      <c r="B10" s="12" t="s">
        <v>61</v>
      </c>
      <c r="C10" s="13">
        <v>38354</v>
      </c>
      <c r="D10" s="12" t="s">
        <v>484</v>
      </c>
      <c r="E10" s="13" t="s">
        <v>377</v>
      </c>
      <c r="F10" s="58"/>
      <c r="G10" s="58"/>
      <c r="H10" s="58"/>
    </row>
    <row r="11" spans="1:8">
      <c r="A11" s="12" t="s">
        <v>485</v>
      </c>
      <c r="B11" s="12" t="s">
        <v>486</v>
      </c>
      <c r="C11" s="13"/>
      <c r="D11" s="12"/>
      <c r="E11" s="13" t="s">
        <v>347</v>
      </c>
      <c r="F11" s="58"/>
      <c r="G11" s="58"/>
      <c r="H11" s="58"/>
    </row>
    <row r="12" spans="1:8">
      <c r="A12" s="12" t="s">
        <v>487</v>
      </c>
      <c r="B12" s="12" t="s">
        <v>488</v>
      </c>
      <c r="C12" s="13"/>
      <c r="D12" s="12"/>
      <c r="E12" s="13" t="s">
        <v>478</v>
      </c>
      <c r="F12" s="58"/>
      <c r="G12" s="58"/>
      <c r="H12" s="58"/>
    </row>
    <row r="13" spans="1:8">
      <c r="A13" s="12" t="s">
        <v>489</v>
      </c>
      <c r="B13" s="12" t="s">
        <v>490</v>
      </c>
      <c r="C13" s="13">
        <v>39000</v>
      </c>
      <c r="D13" s="12" t="s">
        <v>412</v>
      </c>
      <c r="E13" s="13" t="s">
        <v>367</v>
      </c>
      <c r="F13" s="58"/>
      <c r="G13" s="58"/>
      <c r="H13" s="58"/>
    </row>
    <row r="14" spans="1:8">
      <c r="A14" s="12" t="s">
        <v>491</v>
      </c>
      <c r="B14" s="12" t="s">
        <v>492</v>
      </c>
      <c r="C14" s="13">
        <v>39000</v>
      </c>
      <c r="D14" s="12" t="s">
        <v>412</v>
      </c>
      <c r="E14" s="13" t="s">
        <v>493</v>
      </c>
      <c r="F14" s="58"/>
      <c r="G14" s="58"/>
      <c r="H14" s="58"/>
    </row>
    <row r="15" spans="1:8">
      <c r="A15" s="12" t="s">
        <v>494</v>
      </c>
      <c r="B15" s="12" t="s">
        <v>495</v>
      </c>
      <c r="C15" s="13">
        <v>39000</v>
      </c>
      <c r="D15" s="12" t="s">
        <v>412</v>
      </c>
      <c r="E15" s="13" t="s">
        <v>377</v>
      </c>
      <c r="F15" s="58"/>
      <c r="G15" s="58"/>
      <c r="H15" s="58"/>
    </row>
    <row r="16" spans="1:8">
      <c r="A16" s="12" t="s">
        <v>496</v>
      </c>
      <c r="B16" s="12" t="s">
        <v>497</v>
      </c>
      <c r="C16" s="13"/>
      <c r="D16" s="12"/>
      <c r="E16" s="13" t="s">
        <v>347</v>
      </c>
    </row>
    <row r="17" spans="1:5">
      <c r="A17" s="12" t="s">
        <v>328</v>
      </c>
      <c r="B17" s="12" t="s">
        <v>61</v>
      </c>
      <c r="C17" s="13">
        <v>38354</v>
      </c>
      <c r="D17" s="12" t="s">
        <v>484</v>
      </c>
      <c r="E17" s="13" t="s">
        <v>377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C16" sqref="C16"/>
    </sheetView>
  </sheetViews>
  <sheetFormatPr baseColWidth="10" defaultRowHeight="15"/>
  <cols>
    <col min="1" max="1" width="13.42578125" customWidth="1"/>
    <col min="2" max="3" width="15.42578125" customWidth="1"/>
    <col min="4" max="4" width="22.5703125" customWidth="1"/>
  </cols>
  <sheetData>
    <row r="1" spans="1:5" ht="18.75">
      <c r="A1" s="78" t="s">
        <v>553</v>
      </c>
      <c r="B1" s="78"/>
      <c r="C1" s="78"/>
      <c r="D1" s="78"/>
      <c r="E1" s="78"/>
    </row>
    <row r="2" spans="1:5">
      <c r="A2" s="81" t="s">
        <v>552</v>
      </c>
      <c r="B2" s="81"/>
      <c r="C2" s="81"/>
      <c r="D2" s="81"/>
      <c r="E2" s="81"/>
    </row>
    <row r="3" spans="1:5">
      <c r="A3" s="19" t="s">
        <v>555</v>
      </c>
      <c r="B3" s="19" t="s">
        <v>568</v>
      </c>
      <c r="C3" s="19" t="s">
        <v>569</v>
      </c>
      <c r="D3" s="19" t="s">
        <v>557</v>
      </c>
      <c r="E3" s="19" t="s">
        <v>561</v>
      </c>
    </row>
    <row r="4" spans="1:5">
      <c r="A4" s="12" t="s">
        <v>554</v>
      </c>
      <c r="B4" s="13" t="s">
        <v>556</v>
      </c>
      <c r="C4" s="13" t="s">
        <v>570</v>
      </c>
      <c r="D4" s="12" t="s">
        <v>505</v>
      </c>
      <c r="E4" s="12" t="s">
        <v>562</v>
      </c>
    </row>
    <row r="5" spans="1:5">
      <c r="A5" s="12" t="s">
        <v>63</v>
      </c>
      <c r="B5" s="13" t="s">
        <v>556</v>
      </c>
      <c r="C5" s="13" t="s">
        <v>571</v>
      </c>
      <c r="D5" s="12" t="s">
        <v>558</v>
      </c>
      <c r="E5" s="12" t="s">
        <v>562</v>
      </c>
    </row>
    <row r="6" spans="1:5">
      <c r="A6" s="12" t="s">
        <v>61</v>
      </c>
      <c r="B6" s="64">
        <v>0.1</v>
      </c>
      <c r="C6" s="64" t="s">
        <v>570</v>
      </c>
      <c r="D6" s="12" t="s">
        <v>558</v>
      </c>
      <c r="E6" s="12" t="s">
        <v>562</v>
      </c>
    </row>
    <row r="7" spans="1:5">
      <c r="A7" s="66" t="s">
        <v>572</v>
      </c>
    </row>
    <row r="11" spans="1:5">
      <c r="A11" s="81" t="s">
        <v>560</v>
      </c>
      <c r="B11" s="81"/>
      <c r="C11" s="81"/>
      <c r="D11" s="81"/>
      <c r="E11" s="81"/>
    </row>
    <row r="12" spans="1:5">
      <c r="A12" s="19" t="s">
        <v>566</v>
      </c>
      <c r="B12" s="19" t="s">
        <v>568</v>
      </c>
      <c r="C12" s="19" t="s">
        <v>569</v>
      </c>
      <c r="D12" s="19" t="s">
        <v>557</v>
      </c>
      <c r="E12" s="19" t="s">
        <v>561</v>
      </c>
    </row>
    <row r="13" spans="1:5">
      <c r="A13" s="12" t="s">
        <v>559</v>
      </c>
      <c r="B13" s="13" t="s">
        <v>567</v>
      </c>
      <c r="C13" s="64">
        <v>0.03</v>
      </c>
      <c r="D13" s="12" t="s">
        <v>505</v>
      </c>
      <c r="E13" s="12" t="s">
        <v>562</v>
      </c>
    </row>
    <row r="14" spans="1:5">
      <c r="A14" s="12" t="s">
        <v>564</v>
      </c>
      <c r="B14" s="13" t="s">
        <v>567</v>
      </c>
      <c r="C14" s="64">
        <v>0.05</v>
      </c>
      <c r="D14" s="12" t="s">
        <v>64</v>
      </c>
      <c r="E14" s="12" t="s">
        <v>562</v>
      </c>
    </row>
    <row r="15" spans="1:5">
      <c r="A15" s="12" t="s">
        <v>565</v>
      </c>
      <c r="B15" s="64">
        <v>0.12</v>
      </c>
      <c r="C15" s="64">
        <v>0.05</v>
      </c>
      <c r="D15" s="12" t="s">
        <v>505</v>
      </c>
      <c r="E15" s="12" t="s">
        <v>562</v>
      </c>
    </row>
    <row r="16" spans="1:5">
      <c r="A16" s="66" t="s">
        <v>573</v>
      </c>
    </row>
    <row r="17" spans="1:1">
      <c r="A17" s="65" t="s">
        <v>574</v>
      </c>
    </row>
    <row r="19" spans="1:1">
      <c r="A19" s="15" t="s">
        <v>563</v>
      </c>
    </row>
  </sheetData>
  <mergeCells count="3">
    <mergeCell ref="A1:E1"/>
    <mergeCell ref="A2:E2"/>
    <mergeCell ref="A11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5" sqref="B15"/>
    </sheetView>
  </sheetViews>
  <sheetFormatPr baseColWidth="10" defaultRowHeight="15"/>
  <cols>
    <col min="2" max="2" width="23.28515625" customWidth="1"/>
    <col min="5" max="5" width="22.7109375" customWidth="1"/>
  </cols>
  <sheetData>
    <row r="1" spans="1:5" ht="18.75">
      <c r="A1" s="82" t="s">
        <v>500</v>
      </c>
      <c r="B1" s="82"/>
      <c r="C1" s="82"/>
      <c r="D1" s="82"/>
      <c r="E1" s="82"/>
    </row>
    <row r="2" spans="1:5">
      <c r="A2" s="15" t="s">
        <v>10</v>
      </c>
      <c r="D2" s="15" t="s">
        <v>9</v>
      </c>
    </row>
    <row r="3" spans="1:5">
      <c r="A3" s="19" t="s">
        <v>62</v>
      </c>
      <c r="B3" s="19" t="s">
        <v>66</v>
      </c>
      <c r="D3" s="19" t="s">
        <v>62</v>
      </c>
      <c r="E3" s="19" t="s">
        <v>66</v>
      </c>
    </row>
    <row r="4" spans="1:5">
      <c r="A4" s="13" t="s">
        <v>347</v>
      </c>
      <c r="B4" s="12" t="s">
        <v>501</v>
      </c>
      <c r="D4" s="13" t="s">
        <v>347</v>
      </c>
      <c r="E4" s="12" t="s">
        <v>501</v>
      </c>
    </row>
    <row r="5" spans="1:5">
      <c r="A5" s="13" t="s">
        <v>367</v>
      </c>
      <c r="B5" s="12" t="s">
        <v>502</v>
      </c>
      <c r="D5" s="13" t="s">
        <v>367</v>
      </c>
      <c r="E5" s="12" t="s">
        <v>502</v>
      </c>
    </row>
    <row r="6" spans="1:5">
      <c r="A6" s="13" t="s">
        <v>384</v>
      </c>
      <c r="B6" s="12" t="s">
        <v>503</v>
      </c>
      <c r="D6" s="13" t="s">
        <v>493</v>
      </c>
      <c r="E6" s="12" t="s">
        <v>509</v>
      </c>
    </row>
    <row r="7" spans="1:5">
      <c r="A7" s="13" t="s">
        <v>395</v>
      </c>
      <c r="B7" s="12" t="s">
        <v>504</v>
      </c>
      <c r="D7" s="13" t="s">
        <v>377</v>
      </c>
      <c r="E7" s="12" t="s">
        <v>64</v>
      </c>
    </row>
    <row r="8" spans="1:5">
      <c r="A8" s="13" t="s">
        <v>377</v>
      </c>
      <c r="B8" s="12" t="s">
        <v>64</v>
      </c>
      <c r="D8" s="13" t="s">
        <v>351</v>
      </c>
      <c r="E8" s="12" t="s">
        <v>505</v>
      </c>
    </row>
    <row r="9" spans="1:5">
      <c r="A9" s="13" t="s">
        <v>351</v>
      </c>
      <c r="B9" s="12" t="s">
        <v>505</v>
      </c>
      <c r="D9" s="13" t="s">
        <v>478</v>
      </c>
      <c r="E9" s="12" t="s">
        <v>510</v>
      </c>
    </row>
    <row r="10" spans="1:5">
      <c r="A10" s="13" t="s">
        <v>388</v>
      </c>
      <c r="B10" s="12" t="s">
        <v>506</v>
      </c>
      <c r="D10" s="13" t="s">
        <v>388</v>
      </c>
      <c r="E10" s="12" t="s">
        <v>506</v>
      </c>
    </row>
    <row r="11" spans="1:5">
      <c r="A11" s="18" t="s">
        <v>507</v>
      </c>
      <c r="B11" s="28" t="s">
        <v>508</v>
      </c>
    </row>
  </sheetData>
  <sortState ref="D4:E10">
    <sortCondition ref="D4"/>
  </sortState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F1"/>
    </sheetView>
  </sheetViews>
  <sheetFormatPr baseColWidth="10" defaultRowHeight="15"/>
  <cols>
    <col min="5" max="5" width="15.85546875" customWidth="1"/>
    <col min="6" max="6" width="19.42578125" customWidth="1"/>
  </cols>
  <sheetData>
    <row r="1" spans="1:6" ht="18.75">
      <c r="A1" s="78" t="s">
        <v>87</v>
      </c>
      <c r="B1" s="78"/>
      <c r="C1" s="78"/>
      <c r="D1" s="78"/>
      <c r="E1" s="78"/>
      <c r="F1" s="78"/>
    </row>
    <row r="2" spans="1:6">
      <c r="A2" s="13" t="s">
        <v>81</v>
      </c>
      <c r="B2" s="13" t="s">
        <v>82</v>
      </c>
      <c r="C2" s="13" t="s">
        <v>83</v>
      </c>
      <c r="D2" s="13" t="s">
        <v>84</v>
      </c>
      <c r="E2" s="13" t="s">
        <v>85</v>
      </c>
      <c r="F2" s="13" t="s">
        <v>86</v>
      </c>
    </row>
    <row r="3" spans="1:6">
      <c r="A3" s="20">
        <v>41729</v>
      </c>
      <c r="B3" s="3">
        <v>826.74</v>
      </c>
      <c r="C3" s="3">
        <v>15000</v>
      </c>
      <c r="D3" s="3">
        <v>148.82</v>
      </c>
      <c r="E3" s="3">
        <v>677.92</v>
      </c>
      <c r="F3" s="3">
        <v>14322.08</v>
      </c>
    </row>
    <row r="4" spans="1:6">
      <c r="A4" s="20">
        <v>41820</v>
      </c>
      <c r="B4" s="3">
        <v>826.74</v>
      </c>
      <c r="C4" s="3">
        <v>14322.08</v>
      </c>
      <c r="D4" s="3">
        <v>141.69999999999999</v>
      </c>
      <c r="E4" s="3">
        <v>685.04</v>
      </c>
      <c r="F4" s="3">
        <v>13637.04</v>
      </c>
    </row>
    <row r="5" spans="1:6">
      <c r="A5" s="20">
        <v>41912</v>
      </c>
      <c r="B5" s="3">
        <v>826.74</v>
      </c>
      <c r="C5" s="3">
        <v>13637.04</v>
      </c>
      <c r="D5" s="3">
        <v>134.51</v>
      </c>
      <c r="E5" s="3">
        <v>692.23</v>
      </c>
      <c r="F5" s="3">
        <v>12944.81</v>
      </c>
    </row>
    <row r="6" spans="1:6">
      <c r="A6" s="20">
        <v>42004</v>
      </c>
      <c r="B6" s="3">
        <v>826.74</v>
      </c>
      <c r="C6" s="3">
        <v>12944.81</v>
      </c>
      <c r="D6" s="3">
        <v>127.24</v>
      </c>
      <c r="E6" s="3">
        <v>699.5</v>
      </c>
      <c r="F6" s="3">
        <v>12245.31</v>
      </c>
    </row>
    <row r="7" spans="1:6">
      <c r="A7" s="20">
        <v>42094</v>
      </c>
      <c r="B7" s="3">
        <v>826.74</v>
      </c>
      <c r="C7" s="3">
        <v>12245.31</v>
      </c>
      <c r="D7" s="3">
        <v>119.89</v>
      </c>
      <c r="E7" s="3">
        <v>706.85</v>
      </c>
      <c r="F7" s="3">
        <v>11538.46</v>
      </c>
    </row>
    <row r="8" spans="1:6">
      <c r="A8" s="20">
        <v>42185</v>
      </c>
      <c r="B8" s="3">
        <v>826.74</v>
      </c>
      <c r="C8" s="3">
        <v>11538.46</v>
      </c>
      <c r="D8" s="3">
        <v>112.47</v>
      </c>
      <c r="E8" s="3">
        <v>714.27</v>
      </c>
      <c r="F8" s="3">
        <v>10824.19</v>
      </c>
    </row>
    <row r="9" spans="1:6">
      <c r="A9" s="20">
        <v>42277</v>
      </c>
      <c r="B9" s="3">
        <v>826.74</v>
      </c>
      <c r="C9" s="3">
        <v>10824.19</v>
      </c>
      <c r="D9" s="3">
        <v>104.97</v>
      </c>
      <c r="E9" s="3">
        <v>721.77</v>
      </c>
      <c r="F9" s="3">
        <v>10102.42</v>
      </c>
    </row>
    <row r="10" spans="1:6">
      <c r="A10" s="20">
        <v>42369</v>
      </c>
      <c r="B10" s="3">
        <v>826.74</v>
      </c>
      <c r="C10" s="3">
        <v>10102.42</v>
      </c>
      <c r="D10" s="3">
        <v>97.39</v>
      </c>
      <c r="E10" s="3">
        <v>729.35</v>
      </c>
      <c r="F10" s="3">
        <v>9373.07</v>
      </c>
    </row>
    <row r="11" spans="1:6">
      <c r="A11" s="20">
        <v>42460</v>
      </c>
      <c r="B11" s="3">
        <v>826.74</v>
      </c>
      <c r="C11" s="3">
        <v>9373.07</v>
      </c>
      <c r="D11" s="3">
        <v>89.74</v>
      </c>
      <c r="E11" s="3">
        <v>737</v>
      </c>
      <c r="F11" s="3">
        <v>8636.07</v>
      </c>
    </row>
    <row r="12" spans="1:6">
      <c r="A12" s="20">
        <v>42551</v>
      </c>
      <c r="B12" s="3">
        <v>826.74</v>
      </c>
      <c r="C12" s="3">
        <v>8636.07</v>
      </c>
      <c r="D12" s="3">
        <v>82</v>
      </c>
      <c r="E12" s="3">
        <v>744.74</v>
      </c>
      <c r="F12" s="3">
        <v>7891.33</v>
      </c>
    </row>
    <row r="13" spans="1:6">
      <c r="A13" s="20">
        <v>42643</v>
      </c>
      <c r="B13" s="3">
        <v>826.74</v>
      </c>
      <c r="C13" s="3">
        <v>7891.33</v>
      </c>
      <c r="D13" s="3">
        <v>74.180000000000007</v>
      </c>
      <c r="E13" s="3">
        <v>752.56</v>
      </c>
      <c r="F13" s="3">
        <v>7138.77</v>
      </c>
    </row>
    <row r="14" spans="1:6">
      <c r="A14" s="20">
        <v>42735</v>
      </c>
      <c r="B14" s="3">
        <v>826.74</v>
      </c>
      <c r="C14" s="3">
        <v>7138.77</v>
      </c>
      <c r="D14" s="3">
        <v>66.28</v>
      </c>
      <c r="E14" s="3">
        <v>760.46</v>
      </c>
      <c r="F14" s="3">
        <v>6378.31</v>
      </c>
    </row>
    <row r="15" spans="1:6">
      <c r="A15" s="20">
        <v>42825</v>
      </c>
      <c r="B15" s="3">
        <v>826.74</v>
      </c>
      <c r="C15" s="3">
        <v>6378.31</v>
      </c>
      <c r="D15" s="3">
        <v>58.29</v>
      </c>
      <c r="E15" s="3">
        <v>768.45</v>
      </c>
      <c r="F15" s="3">
        <v>5609.86</v>
      </c>
    </row>
    <row r="16" spans="1:6">
      <c r="A16" s="20">
        <v>42916</v>
      </c>
      <c r="B16" s="3">
        <v>826.74</v>
      </c>
      <c r="C16" s="3">
        <v>5609.86</v>
      </c>
      <c r="D16" s="3">
        <v>50.22</v>
      </c>
      <c r="E16" s="3">
        <v>776.52</v>
      </c>
      <c r="F16" s="3">
        <v>4833.34</v>
      </c>
    </row>
    <row r="17" spans="1:6">
      <c r="A17" s="20">
        <v>43008</v>
      </c>
      <c r="B17" s="3">
        <v>826.74</v>
      </c>
      <c r="C17" s="3">
        <v>4833.34</v>
      </c>
      <c r="D17" s="3">
        <v>42.07</v>
      </c>
      <c r="E17" s="3">
        <v>784.67</v>
      </c>
      <c r="F17" s="3">
        <v>4048.67</v>
      </c>
    </row>
    <row r="18" spans="1:6">
      <c r="A18" s="20">
        <v>43100</v>
      </c>
      <c r="B18" s="3">
        <v>826.74</v>
      </c>
      <c r="C18" s="3">
        <v>4048.67</v>
      </c>
      <c r="D18" s="3">
        <v>33.83</v>
      </c>
      <c r="E18" s="3">
        <v>792.91</v>
      </c>
      <c r="F18" s="3">
        <v>3255.76</v>
      </c>
    </row>
    <row r="19" spans="1:6">
      <c r="A19" s="20">
        <v>43190</v>
      </c>
      <c r="B19" s="3">
        <v>826.74</v>
      </c>
      <c r="C19" s="3">
        <v>3255.76</v>
      </c>
      <c r="D19" s="3">
        <v>25.5</v>
      </c>
      <c r="E19" s="3">
        <v>801.24</v>
      </c>
      <c r="F19" s="3">
        <v>2454.52</v>
      </c>
    </row>
    <row r="20" spans="1:6">
      <c r="A20" s="20">
        <v>43281</v>
      </c>
      <c r="B20" s="3">
        <v>826.74</v>
      </c>
      <c r="C20" s="3">
        <v>2454.52</v>
      </c>
      <c r="D20" s="3">
        <v>17.09</v>
      </c>
      <c r="E20" s="3">
        <v>809.65</v>
      </c>
      <c r="F20" s="3">
        <v>1644.87</v>
      </c>
    </row>
    <row r="21" spans="1:6">
      <c r="A21" s="20">
        <v>43373</v>
      </c>
      <c r="B21" s="3">
        <v>826.74</v>
      </c>
      <c r="C21" s="3">
        <v>1644.87</v>
      </c>
      <c r="D21" s="3">
        <v>8.59</v>
      </c>
      <c r="E21" s="3">
        <v>818.15</v>
      </c>
      <c r="F21" s="3">
        <v>826.72</v>
      </c>
    </row>
    <row r="22" spans="1:6">
      <c r="A22" s="20">
        <v>43465</v>
      </c>
      <c r="B22" s="3">
        <v>826.74</v>
      </c>
      <c r="C22" s="3">
        <v>826.72</v>
      </c>
      <c r="D22" s="3">
        <v>0.02</v>
      </c>
      <c r="E22" s="3">
        <v>826.72</v>
      </c>
      <c r="F22" s="3">
        <v>0</v>
      </c>
    </row>
    <row r="25" spans="1:6">
      <c r="B25" s="29"/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</vt:i4>
      </vt:variant>
    </vt:vector>
  </HeadingPairs>
  <TitlesOfParts>
    <vt:vector size="18" baseType="lpstr">
      <vt:lpstr>Balance 31122013</vt:lpstr>
      <vt:lpstr>Familles</vt:lpstr>
      <vt:lpstr>Immobilisations</vt:lpstr>
      <vt:lpstr>Articles</vt:lpstr>
      <vt:lpstr>Clients</vt:lpstr>
      <vt:lpstr>Fournisseurs</vt:lpstr>
      <vt:lpstr>Conditions commerciales</vt:lpstr>
      <vt:lpstr>Conditions de règlement</vt:lpstr>
      <vt:lpstr>Tableau Emprunt</vt:lpstr>
      <vt:lpstr>Echéancier Crédit-bail</vt:lpstr>
      <vt:lpstr>Echéancier fiscal et social</vt:lpstr>
      <vt:lpstr>Etat des stocks</vt:lpstr>
      <vt:lpstr>Inventaire</vt:lpstr>
      <vt:lpstr>Simulation paie 2014</vt:lpstr>
      <vt:lpstr>Résultat fiscal</vt:lpstr>
      <vt:lpstr>'Balance 31122013'!Zone_d_impression</vt:lpstr>
      <vt:lpstr>Familles!Zone_d_impression</vt:lpstr>
      <vt:lpstr>Fournisseurs!Zone_d_impression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Parisot</dc:creator>
  <cp:lastModifiedBy>Pascal Parisot</cp:lastModifiedBy>
  <cp:lastPrinted>2015-10-07T13:40:36Z</cp:lastPrinted>
  <dcterms:created xsi:type="dcterms:W3CDTF">2014-10-05T12:30:10Z</dcterms:created>
  <dcterms:modified xsi:type="dcterms:W3CDTF">2016-01-04T17:39:51Z</dcterms:modified>
</cp:coreProperties>
</file>